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team properties" sheetId="1" r:id="rId1"/>
    <sheet name="VBA index" sheetId="2" r:id="rId2"/>
    <sheet name="Ref" sheetId="3" r:id="rId3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<sst xmlns="http://schemas.openxmlformats.org/spreadsheetml/2006/main" count="505" uniqueCount="348">
  <si>
    <t>www.x-eng.com</t>
  </si>
  <si>
    <t>kJ/kg</t>
  </si>
  <si>
    <t>m/s</t>
  </si>
  <si>
    <t>kJ/(kg K)</t>
  </si>
  <si>
    <t>m3/kg</t>
  </si>
  <si>
    <t>Pa s</t>
  </si>
  <si>
    <t>W/(m K)</t>
  </si>
  <si>
    <t>N/m</t>
  </si>
  <si>
    <t>kPa</t>
  </si>
  <si>
    <t>'***********************************************************************************************************</t>
  </si>
  <si>
    <t>'***********************************************************************************************************'</t>
  </si>
  <si>
    <t>'</t>
  </si>
  <si>
    <t>' The code is also avalibale for matlab at www.x-eng.com</t>
  </si>
  <si>
    <t>'*Contents.</t>
  </si>
  <si>
    <t>'*1 Calling functions</t>
  </si>
  <si>
    <t>'*1.1</t>
  </si>
  <si>
    <t>'*1.2 Temperature (T)</t>
  </si>
  <si>
    <t>'*1.3 Pressure (p)</t>
  </si>
  <si>
    <t>'*1.4 Enthalpy (h)</t>
  </si>
  <si>
    <t>'*1.5 Specific Volume (v)</t>
  </si>
  <si>
    <t>'*1.6 Density (rho)</t>
  </si>
  <si>
    <t>'*1.7 Specific entropy (s)</t>
  </si>
  <si>
    <t>'*1.8 Specific internal energy (u)</t>
  </si>
  <si>
    <t>'*1.9 Specific isobaric heat capacity (Cp)</t>
  </si>
  <si>
    <t>'*1.10 Specific isochoric heat capacity (Cv)</t>
  </si>
  <si>
    <t>'*1.11 Speed of sound</t>
  </si>
  <si>
    <t>'*1.12 Viscosity</t>
  </si>
  <si>
    <t>'*1.13 Prandtl</t>
  </si>
  <si>
    <t>'*1.14 Kappa</t>
  </si>
  <si>
    <t>'*1.15 Surface tension</t>
  </si>
  <si>
    <t>'*1.16 Heat conductivity</t>
  </si>
  <si>
    <t>'*1.17 Vapour fraction</t>
  </si>
  <si>
    <t>'*1.18 Vapour Volume Fraction</t>
  </si>
  <si>
    <t>'*2 IAPWS IF 97 Calling functions</t>
  </si>
  <si>
    <t>'*2.1 Functions for region 1</t>
  </si>
  <si>
    <t>'*2.2 Functions for region 2</t>
  </si>
  <si>
    <t>'*2.3 Functions for region 3</t>
  </si>
  <si>
    <t>'*2.4 Functions for region 4</t>
  </si>
  <si>
    <t>'*2.5 Functions for region 5</t>
  </si>
  <si>
    <t>'*3 Region Selection</t>
  </si>
  <si>
    <t>'*3.1 Regions as a function of pT</t>
  </si>
  <si>
    <t>'*3.2 Regions as a function of ph</t>
  </si>
  <si>
    <t>'*3.3 Regions as a function of ps</t>
  </si>
  <si>
    <t>'*3.4 Regions as a function of hs</t>
  </si>
  <si>
    <t>'*3.5 Regions as a function of p and rho</t>
  </si>
  <si>
    <t>'4 Region Borders</t>
  </si>
  <si>
    <t>'4.1 Boundary between region 1 and 3.</t>
  </si>
  <si>
    <t>'4.2 Region 3. pSat_h and pSat_s</t>
  </si>
  <si>
    <t>'4.3 Region boundary 1to3 and 3to2 as a functions of s</t>
  </si>
  <si>
    <t>'5 Transport properties</t>
  </si>
  <si>
    <t>'5.1 Viscosity (IAPWS formulation 1985)</t>
  </si>
  <si>
    <t>'5.2 Thermal Conductivity (IAPWS formulation 1985)</t>
  </si>
  <si>
    <t>'5.3 Surface Tension</t>
  </si>
  <si>
    <t>'6 Units</t>
  </si>
  <si>
    <t>Thermodynamic properties</t>
  </si>
  <si>
    <t>Thermodynamic properties (according to IAPWS IF-97  )</t>
  </si>
  <si>
    <t>Transport properties</t>
  </si>
  <si>
    <t>Viscosity (IAPWS formulation 1985)</t>
  </si>
  <si>
    <t>Thermal Conductivity (IAPWS formulation 1985)</t>
  </si>
  <si>
    <t>Water and steam properties according to IAPWS IF-97</t>
  </si>
  <si>
    <t>By Magnus Holmgren</t>
  </si>
  <si>
    <t xml:space="preserve">Surface Tension ('IAPWS Release on Surface Tension </t>
  </si>
  <si>
    <t>of Ordinary Water Substance September 1994)</t>
  </si>
  <si>
    <t xml:space="preserve">Revised release on the IAPS Formulation 1985 for the </t>
  </si>
  <si>
    <t xml:space="preserve">Thermal Conductivity of ordinary water IAPWS </t>
  </si>
  <si>
    <t>September 1998 Page 8</t>
  </si>
  <si>
    <t>Release on the IAPWS Industrial Formulation 1997 for the</t>
  </si>
  <si>
    <t>Thermodynamic Properties of Water and Steam 1997</t>
  </si>
  <si>
    <t>ºC</t>
  </si>
  <si>
    <t>p =</t>
  </si>
  <si>
    <t>m³/kg</t>
  </si>
  <si>
    <t>kg/m³</t>
  </si>
  <si>
    <t xml:space="preserve"> - </t>
  </si>
  <si>
    <t xml:space="preserve"> -</t>
  </si>
  <si>
    <t>x =</t>
  </si>
  <si>
    <t xml:space="preserve"> </t>
  </si>
  <si>
    <t>t =</t>
  </si>
  <si>
    <t>Saturated water</t>
  </si>
  <si>
    <t>SaturWater_Enthalpy_p(p)</t>
  </si>
  <si>
    <t>SaturWater_Entropy_p(p)</t>
  </si>
  <si>
    <t>kJ(kg K)</t>
  </si>
  <si>
    <t>Saturated steam</t>
  </si>
  <si>
    <t>SaturSteam_Enthalpy_p(p)</t>
  </si>
  <si>
    <t>SaturSteam_Enthalpy_t(t)</t>
  </si>
  <si>
    <t>SaturSteam_Entropy_p(p)</t>
  </si>
  <si>
    <t>SaturSteam_Entropy_t(t)</t>
  </si>
  <si>
    <t xml:space="preserve"> w_pT =</t>
  </si>
  <si>
    <t xml:space="preserve"> h_ps =</t>
  </si>
  <si>
    <t xml:space="preserve"> v_ps =</t>
  </si>
  <si>
    <t xml:space="preserve"> rho_ps =</t>
  </si>
  <si>
    <t xml:space="preserve"> u_ps =</t>
  </si>
  <si>
    <t xml:space="preserve"> Cp_ps =</t>
  </si>
  <si>
    <t xml:space="preserve"> Cv_ps =</t>
  </si>
  <si>
    <t xml:space="preserve"> w_ps =</t>
  </si>
  <si>
    <t xml:space="preserve"> tc_ph =</t>
  </si>
  <si>
    <t>Saturation properties</t>
  </si>
  <si>
    <t>Steamdat</t>
  </si>
  <si>
    <t>Humid region</t>
  </si>
  <si>
    <t>Superheated steam</t>
  </si>
  <si>
    <t>Magnus</t>
  </si>
  <si>
    <t>(for p = 1 bar)</t>
  </si>
  <si>
    <t xml:space="preserve"> sV_p =</t>
  </si>
  <si>
    <t>sL_p =</t>
  </si>
  <si>
    <t xml:space="preserve"> Tsat_p =</t>
  </si>
  <si>
    <t xml:space="preserve"> hL_p =</t>
  </si>
  <si>
    <t>h_px =</t>
  </si>
  <si>
    <t xml:space="preserve"> my_ph =</t>
  </si>
  <si>
    <t xml:space="preserve"> my_ps =</t>
  </si>
  <si>
    <t>x_ph =</t>
  </si>
  <si>
    <t xml:space="preserve"> h_pt =</t>
  </si>
  <si>
    <t>x_ps =</t>
  </si>
  <si>
    <t xml:space="preserve"> hL_t =</t>
  </si>
  <si>
    <t>s_ph =</t>
  </si>
  <si>
    <t>sL_t =</t>
  </si>
  <si>
    <t>s_pt =</t>
  </si>
  <si>
    <t>tcL_t =</t>
  </si>
  <si>
    <t>tc_pt =</t>
  </si>
  <si>
    <t xml:space="preserve"> wL_t =</t>
  </si>
  <si>
    <t xml:space="preserve"> tc_hs =</t>
  </si>
  <si>
    <t xml:space="preserve"> wL_p =</t>
  </si>
  <si>
    <t xml:space="preserve"> CpL_p =</t>
  </si>
  <si>
    <t xml:space="preserve"> CpL_t =</t>
  </si>
  <si>
    <t xml:space="preserve"> vL_p =</t>
  </si>
  <si>
    <t>Pr_ph =</t>
  </si>
  <si>
    <t xml:space="preserve"> st_p =</t>
  </si>
  <si>
    <t xml:space="preserve"> w_ph =</t>
  </si>
  <si>
    <t xml:space="preserve"> uL_p =</t>
  </si>
  <si>
    <t xml:space="preserve"> Cp_ph =</t>
  </si>
  <si>
    <t xml:space="preserve"> hV_p =</t>
  </si>
  <si>
    <t xml:space="preserve"> Cv_ph =</t>
  </si>
  <si>
    <t>sV_p =</t>
  </si>
  <si>
    <t>sV_t =</t>
  </si>
  <si>
    <t xml:space="preserve"> v_ph =</t>
  </si>
  <si>
    <t xml:space="preserve"> wV_T =</t>
  </si>
  <si>
    <t xml:space="preserve"> wV_p =</t>
  </si>
  <si>
    <t xml:space="preserve"> T_ph =</t>
  </si>
  <si>
    <t xml:space="preserve"> CpV_T =</t>
  </si>
  <si>
    <t xml:space="preserve"> T_ps =</t>
  </si>
  <si>
    <t xml:space="preserve"> CpV_p =</t>
  </si>
  <si>
    <t xml:space="preserve"> T_hs =</t>
  </si>
  <si>
    <t xml:space="preserve"> rho_ph =</t>
  </si>
  <si>
    <t xml:space="preserve"> rhoV_p =</t>
  </si>
  <si>
    <t xml:space="preserve"> uV_p =</t>
  </si>
  <si>
    <t xml:space="preserve"> u_ph =</t>
  </si>
  <si>
    <t xml:space="preserve"> rhoL_p =</t>
  </si>
  <si>
    <t xml:space="preserve"> x = 0.8)</t>
  </si>
  <si>
    <t xml:space="preserve">(for p = 1 bar, </t>
  </si>
  <si>
    <t>t = 100 ºC)</t>
  </si>
  <si>
    <t>Subcooled water</t>
  </si>
  <si>
    <t>(for p = 10 bar,</t>
  </si>
  <si>
    <t>PrV_p</t>
  </si>
  <si>
    <t>m²/s</t>
  </si>
  <si>
    <t>[1]</t>
  </si>
  <si>
    <t xml:space="preserve"> vV_p=</t>
  </si>
  <si>
    <t>v_Tx =</t>
  </si>
  <si>
    <t>v_px =</t>
  </si>
  <si>
    <t>x_ts =</t>
  </si>
  <si>
    <t>'7  Added functions</t>
  </si>
  <si>
    <t>' These functions use approximations to evaluate saturation properties, using</t>
  </si>
  <si>
    <t>' functions defined for non saturated conditions. For the evaluation, the saturation</t>
  </si>
  <si>
    <t>' states are changed by adding or substracting  0.1 ªC  or  0.1 kPa to move away</t>
  </si>
  <si>
    <t>' from the saturated state of the liquid or vapor.</t>
  </si>
  <si>
    <t>' If in a given application the method does not work, the temperature difference</t>
  </si>
  <si>
    <t>' or pressure difference shall be increased.</t>
  </si>
  <si>
    <t>myL_t</t>
  </si>
  <si>
    <t>nyL_t</t>
  </si>
  <si>
    <t>tcL_p =</t>
  </si>
  <si>
    <t>PrV_t</t>
  </si>
  <si>
    <t>Rev. cjc. 27.04.2017</t>
  </si>
  <si>
    <t>www.piping-tools.net</t>
  </si>
  <si>
    <t>[0]</t>
  </si>
  <si>
    <t>cjcruz[at]piping-tools.net</t>
  </si>
  <si>
    <t>For more information on steam functions, see</t>
  </si>
  <si>
    <t>Steam. Applications using  Magnus Holmgren functions.xls</t>
  </si>
  <si>
    <t>(20 functions added to the original series)</t>
  </si>
  <si>
    <t>H2O_Entropy_pt</t>
  </si>
  <si>
    <t xml:space="preserve"> s_pt =</t>
  </si>
  <si>
    <t>SaturationTemp_p(p)</t>
  </si>
  <si>
    <t>H2O_Enthalpy_pt</t>
  </si>
  <si>
    <t>h_pt =</t>
  </si>
  <si>
    <t>H2O_SpecVolume_pt</t>
  </si>
  <si>
    <t>v_pt =</t>
  </si>
  <si>
    <t>H2O_Enthalpy_px</t>
  </si>
  <si>
    <t>H2O_Enthalpy_tx</t>
  </si>
  <si>
    <t xml:space="preserve"> h_tx =</t>
  </si>
  <si>
    <t>H2O_DynViscosity_pt</t>
  </si>
  <si>
    <t>my_pt =</t>
  </si>
  <si>
    <t>SaturationPressure_s</t>
  </si>
  <si>
    <t>H2O_Entropy_ph</t>
  </si>
  <si>
    <t>H2O_DynViscosity_ph</t>
  </si>
  <si>
    <t>SaturationPressure_t</t>
  </si>
  <si>
    <t xml:space="preserve"> psat_t =</t>
  </si>
  <si>
    <t>H2O_SpecVolume_px</t>
  </si>
  <si>
    <t>H2O_DynViscosity_ps</t>
  </si>
  <si>
    <t>SaturationTemp_s(s)</t>
  </si>
  <si>
    <t>H2O_SpecVolume_tx</t>
  </si>
  <si>
    <t>H2O_KinViscosity_pt</t>
  </si>
  <si>
    <t>ny_pt =</t>
  </si>
  <si>
    <t>SaturWater_DynViscosity_p</t>
  </si>
  <si>
    <t>myL_p</t>
  </si>
  <si>
    <t>SteamQuality_ph</t>
  </si>
  <si>
    <t>H2O_KinViscosity_ph</t>
  </si>
  <si>
    <t xml:space="preserve"> ny_ph =</t>
  </si>
  <si>
    <t>SaturWater_DynViscosity_t</t>
  </si>
  <si>
    <t>SteamQuality_ps</t>
  </si>
  <si>
    <t>H2O_KinViscosity_ps</t>
  </si>
  <si>
    <t xml:space="preserve"> ny_ps =</t>
  </si>
  <si>
    <t>SaturWater_KinemViscosity_p</t>
  </si>
  <si>
    <t>nyL_p</t>
  </si>
  <si>
    <t>SteamQuality_ts</t>
  </si>
  <si>
    <t>SaturWater_KinemViscosity_t</t>
  </si>
  <si>
    <t>H2O_VapourisationHeat_p</t>
  </si>
  <si>
    <t>hfg_p =</t>
  </si>
  <si>
    <t>H2O_Enthalpy_ps</t>
  </si>
  <si>
    <t>SaturWater_Enthalpy_p</t>
  </si>
  <si>
    <t>H2O_VapourisationHeat_t</t>
  </si>
  <si>
    <t>hfg_t =</t>
  </si>
  <si>
    <t>H2O_Enthalpy_ts</t>
  </si>
  <si>
    <t xml:space="preserve"> h_ts =</t>
  </si>
  <si>
    <t>SaturWater_Enthalpy_t</t>
  </si>
  <si>
    <t>H2O_Enthalpy_pRho</t>
  </si>
  <si>
    <t xml:space="preserve"> h_pRho =</t>
  </si>
  <si>
    <t>SaturWater_Entropy_p</t>
  </si>
  <si>
    <t>SaturWater_Entropy_t</t>
  </si>
  <si>
    <t>SaturWater_ThermConduct_p</t>
  </si>
  <si>
    <t>H2O_ThermConductivity_pt</t>
  </si>
  <si>
    <t>SaturWater_ThermConduct_t</t>
  </si>
  <si>
    <t>H2O_ThermConductivity_ph</t>
  </si>
  <si>
    <t>SaturWater_Prandtl_p</t>
  </si>
  <si>
    <t>PrL_P =</t>
  </si>
  <si>
    <t>H2O_ThermConductivity_hs</t>
  </si>
  <si>
    <t>SaturWater_Prandtl_t</t>
  </si>
  <si>
    <t>PrL_t =</t>
  </si>
  <si>
    <t>H2O_Kappa_p_t(p,t)</t>
  </si>
  <si>
    <t>Kappa_pt =</t>
  </si>
  <si>
    <t>SaturWater_SonicVelocity_t</t>
  </si>
  <si>
    <t>H2O_Kappa_ph</t>
  </si>
  <si>
    <t>Kappa_ph =</t>
  </si>
  <si>
    <t>SaturWater_SonicVelocity_p</t>
  </si>
  <si>
    <t>H2O_KappaUp_ph</t>
  </si>
  <si>
    <t>SaturWater_SpecHeatCp_p</t>
  </si>
  <si>
    <t>H2O_KappaDown_ph</t>
  </si>
  <si>
    <t>H2O_Prandtl_pt</t>
  </si>
  <si>
    <t>Pr_pt =</t>
  </si>
  <si>
    <t>SaturWater_SpecVolume_t</t>
  </si>
  <si>
    <t>vL_t =</t>
  </si>
  <si>
    <t>H2O_Prandtl_ph</t>
  </si>
  <si>
    <t>SaturWater_SpecVolume_p</t>
  </si>
  <si>
    <t>H2O_Pressure_ts</t>
  </si>
  <si>
    <t>P_ts =</t>
  </si>
  <si>
    <t>SaturWater_Temperature_h</t>
  </si>
  <si>
    <t>H2O_Pressure_tv</t>
  </si>
  <si>
    <t>P_tv =</t>
  </si>
  <si>
    <t>SaturWater_SurfaceTension_t</t>
  </si>
  <si>
    <t xml:space="preserve"> st_t =</t>
  </si>
  <si>
    <t>H2O Pressure_hs</t>
  </si>
  <si>
    <t xml:space="preserve"> p_hs =</t>
  </si>
  <si>
    <t>SaturWater_SurfaceTension_p</t>
  </si>
  <si>
    <t>H2O Pressure_hRho</t>
  </si>
  <si>
    <t xml:space="preserve"> p_hRho =</t>
  </si>
  <si>
    <t>SaturWater_Density_t</t>
  </si>
  <si>
    <t xml:space="preserve"> rhoL_t =</t>
  </si>
  <si>
    <t>H2O_SonicVelocity_pt</t>
  </si>
  <si>
    <t>SaturWater_Density_p</t>
  </si>
  <si>
    <t>H2O_SonicVelocity_ph</t>
  </si>
  <si>
    <t>SaturWater_IntEnergy_t</t>
  </si>
  <si>
    <t xml:space="preserve"> uL_t =</t>
  </si>
  <si>
    <t>H2O_SonicVelocity_ps</t>
  </si>
  <si>
    <t>SaturWater_IntEnergy_p</t>
  </si>
  <si>
    <t>H2O_SpecificHeatCp_pt</t>
  </si>
  <si>
    <t xml:space="preserve"> Cp_pt =</t>
  </si>
  <si>
    <t>H2O_SpecificHeatCp_ph</t>
  </si>
  <si>
    <t>H2O_SpecificHeatCp_ps</t>
  </si>
  <si>
    <t>SaturSteam_DynViscosity_p</t>
  </si>
  <si>
    <t>myV_p =</t>
  </si>
  <si>
    <t>H2O_SpecificHeatCv_pt</t>
  </si>
  <si>
    <t>Cv_pt =</t>
  </si>
  <si>
    <t>SaturSteam_DynViscosity_t</t>
  </si>
  <si>
    <t>myV_t =</t>
  </si>
  <si>
    <t>H2O_SpecificHeatCv_ph</t>
  </si>
  <si>
    <t>SaturSteam_KinemViscosity_p</t>
  </si>
  <si>
    <t>nyV_P =</t>
  </si>
  <si>
    <t>H2O_SpecificHeatCv_ps</t>
  </si>
  <si>
    <t>SaturSteam_KinemViscosity_t</t>
  </si>
  <si>
    <t>nyV_t =</t>
  </si>
  <si>
    <t xml:space="preserve"> v_pt =</t>
  </si>
  <si>
    <t>H2O_SpecVolume_ph</t>
  </si>
  <si>
    <t xml:space="preserve"> hV_t =</t>
  </si>
  <si>
    <t>H2O_SpecVolume_ps</t>
  </si>
  <si>
    <t>H2O_Temperature_ph</t>
  </si>
  <si>
    <t>H2O_Temperature_ps</t>
  </si>
  <si>
    <t>SaturSteam_ThermConduct_p</t>
  </si>
  <si>
    <t>tcV_p =</t>
  </si>
  <si>
    <t>H2O_Temperature_pv</t>
  </si>
  <si>
    <t xml:space="preserve"> T_pv =</t>
  </si>
  <si>
    <t>SaturSteam_ThermConduct_t</t>
  </si>
  <si>
    <t>tcV_t =</t>
  </si>
  <si>
    <t>H2O_Temperature_hs</t>
  </si>
  <si>
    <t>SaturSteam_Prandtl_p</t>
  </si>
  <si>
    <t>H2O_Density_pt</t>
  </si>
  <si>
    <t xml:space="preserve"> rho_pt =</t>
  </si>
  <si>
    <t>SaturSteam_Prandtl_t</t>
  </si>
  <si>
    <t>H2O_Density_ph</t>
  </si>
  <si>
    <t>SaturSteam_SonicVelocity_t</t>
  </si>
  <si>
    <t>H2O_Density_ps</t>
  </si>
  <si>
    <t>SaturSteam_SonicVelocity_p</t>
  </si>
  <si>
    <t>H2O_InternalEnergy_pt</t>
  </si>
  <si>
    <t xml:space="preserve"> u_pt =</t>
  </si>
  <si>
    <t>SaturSteam_SpecHeatCp_t</t>
  </si>
  <si>
    <t>H2O_InternalEnergy_ph</t>
  </si>
  <si>
    <t>SaturSteam_SpecHeatCp_p</t>
  </si>
  <si>
    <t>H2O_InternalEnergy_ps</t>
  </si>
  <si>
    <t>SaturSteam_SpecVolume_t</t>
  </si>
  <si>
    <t>vV_t =</t>
  </si>
  <si>
    <t>SaturSteam_SpecVolume_p</t>
  </si>
  <si>
    <t>SaturSteam_Density_t</t>
  </si>
  <si>
    <t xml:space="preserve"> rhoV_t =</t>
  </si>
  <si>
    <t>SaturSteam_Density_p</t>
  </si>
  <si>
    <t>Saturated steam int. energy_t</t>
  </si>
  <si>
    <t>Saturated steam int. energy_p</t>
  </si>
  <si>
    <t xml:space="preserve"> uV_t =</t>
  </si>
  <si>
    <t>'7.1.-  Kinematic viscosity of superheated steam or subcooled liquid as function of  p  and  t</t>
  </si>
  <si>
    <t>'7.2.-  Kinematic viscosity of superheated steam or subcooled liquid as function of  p  and  h</t>
  </si>
  <si>
    <t>'7.3.-  Kinematic viscosity of superheated steam or subcooled liquid as function of  p  and  s</t>
  </si>
  <si>
    <t>'7.4.-  Dynamic viscosity of saturated liquid as function of the pressure</t>
  </si>
  <si>
    <t>'7.5.-  Dynamic viscosity of saturated liquid as function of the temperature</t>
  </si>
  <si>
    <t>'7.6.-  Dynamic viscosity of saturated vapor as function of the pressure</t>
  </si>
  <si>
    <t>'7.7.-  Dynamic viscosity of saturated vapor as function of the temperature</t>
  </si>
  <si>
    <t>'7.8.-  Kinematic viscosity of saturated liquid as function of the pressure</t>
  </si>
  <si>
    <t>'7.9.-  Kinematic viscosity of saturated liquid as function of the temperature</t>
  </si>
  <si>
    <t>'7.10.-  Kinematic viscosity of saturated vapor as function of the pressure</t>
  </si>
  <si>
    <t>'7.11.-  Kinematic viscosity of saturated vapor as function of the temperature</t>
  </si>
  <si>
    <t>'7.12.-  Prandtl number of saturated liquid as function of the pressure</t>
  </si>
  <si>
    <t>'7.13.-  Prandtl number of saturated liquid as function of the temperature</t>
  </si>
  <si>
    <t>'7.14.-  Prandtl number of saturated vapor as function of the pressure</t>
  </si>
  <si>
    <t>'7.15.-  Prandtl number of saturated vapor as function of the temperature</t>
  </si>
  <si>
    <t>'7.16.-  Specific volume in the humid region  as function of pressure and dryness</t>
  </si>
  <si>
    <t>'7.17.-  Specific volume in the humid region as function of temperature and dryness</t>
  </si>
  <si>
    <t>'7.18.-  Vapourisation Heat as a function of the pressure</t>
  </si>
  <si>
    <t>'7.19.-  Vapourisation Heat as a function of the temperature</t>
  </si>
  <si>
    <t>'7.20.-  Dryness in the humid region  as function of temperature and entropy</t>
  </si>
  <si>
    <t>* By Magnus Holmgren, www.x-eng.com                                                                                                                                                                      *</t>
  </si>
  <si>
    <t>* The steam tables are free and provided as is.                                                                                                                                                           *</t>
  </si>
  <si>
    <t>* Water and steam properties according to IAPWS IF-97                                                                                                                                         *</t>
  </si>
  <si>
    <t>* We take no responsibilities for any errors in the code or damage thereby.                                                                                                *</t>
  </si>
  <si>
    <t>* You are free to use, modify and distribute the code as long as authorship is properly acknowledged.                                           *</t>
  </si>
  <si>
    <t>* Please notify me at magnus@x-eng.com if the code is used in commercial applications                                                                      *</t>
  </si>
  <si>
    <t>* 20 functions added by cjc, 13.07.2017                                                                                                                                                                           *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</si>
</sst>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E+00"/>
    <numFmt numFmtId="165" formatCode="0.0000"/>
    <numFmt numFmtId="166" formatCode="0.000"/>
    <numFmt numFmtId="167" formatCode="0.0"/>
    <numFmt numFmtId="168" formatCode="0.00000"/>
    <numFmt numFmtId="169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1"/>
      <color indexed="4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40"/>
      <name val="Calibri"/>
      <family val="2"/>
    </font>
    <font>
      <sz val="9"/>
      <color indexed="40"/>
      <name val="Calibri"/>
      <family val="2"/>
    </font>
    <font>
      <u val="single"/>
      <sz val="10"/>
      <color indexed="40"/>
      <name val="Calibri"/>
      <family val="2"/>
    </font>
    <font>
      <sz val="10"/>
      <color indexed="8"/>
      <name val="Calibri"/>
      <family val="2"/>
    </font>
    <font>
      <sz val="10"/>
      <color indexed="4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00B0F0"/>
      <name val="Calibri"/>
      <family val="2"/>
    </font>
    <font>
      <sz val="9"/>
      <color rgb="FF00B0F0"/>
      <name val="Calibri"/>
      <family val="2"/>
    </font>
    <font>
      <u val="single"/>
      <sz val="10"/>
      <color rgb="FF00B0F0"/>
      <name val="Calibri"/>
      <family val="2"/>
    </font>
    <font>
      <sz val="10"/>
      <color theme="1"/>
      <name val="Calibri"/>
      <family val="2"/>
    </font>
    <font>
      <sz val="10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52" applyFont="1" applyAlignment="1" applyProtection="1">
      <alignment/>
      <protection/>
    </xf>
    <xf numFmtId="0" fontId="3" fillId="0" borderId="0" xfId="52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4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167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11" fontId="0" fillId="0" borderId="19" xfId="0" applyNumberFormat="1" applyBorder="1" applyAlignment="1">
      <alignment horizontal="center"/>
    </xf>
    <xf numFmtId="0" fontId="47" fillId="8" borderId="19" xfId="0" applyFon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8" borderId="19" xfId="0" applyFill="1" applyBorder="1" applyAlignment="1">
      <alignment/>
    </xf>
    <xf numFmtId="0" fontId="46" fillId="0" borderId="0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0" fillId="8" borderId="0" xfId="0" applyFill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right"/>
    </xf>
    <xf numFmtId="0" fontId="0" fillId="0" borderId="22" xfId="0" applyBorder="1" applyAlignment="1">
      <alignment/>
    </xf>
    <xf numFmtId="166" fontId="0" fillId="8" borderId="0" xfId="0" applyNumberFormat="1" applyFill="1" applyBorder="1" applyAlignment="1">
      <alignment horizontal="center"/>
    </xf>
    <xf numFmtId="169" fontId="0" fillId="8" borderId="21" xfId="0" applyNumberFormat="1" applyFill="1" applyBorder="1" applyAlignment="1">
      <alignment horizontal="center"/>
    </xf>
    <xf numFmtId="169" fontId="0" fillId="8" borderId="23" xfId="0" applyNumberFormat="1" applyFill="1" applyBorder="1" applyAlignment="1">
      <alignment horizontal="center"/>
    </xf>
    <xf numFmtId="169" fontId="0" fillId="8" borderId="0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7" fontId="0" fillId="34" borderId="19" xfId="0" applyNumberForma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52" applyFont="1" applyAlignment="1" applyProtection="1">
      <alignment/>
      <protection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left"/>
    </xf>
    <xf numFmtId="165" fontId="0" fillId="34" borderId="19" xfId="0" applyNumberFormat="1" applyFill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69" fontId="0" fillId="8" borderId="12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51" fillId="8" borderId="19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67" fontId="46" fillId="0" borderId="24" xfId="0" applyNumberFormat="1" applyFont="1" applyBorder="1" applyAlignment="1">
      <alignment horizontal="center"/>
    </xf>
    <xf numFmtId="0" fontId="46" fillId="8" borderId="24" xfId="0" applyFont="1" applyFill="1" applyBorder="1" applyAlignment="1">
      <alignment/>
    </xf>
    <xf numFmtId="2" fontId="46" fillId="0" borderId="24" xfId="0" applyNumberFormat="1" applyFont="1" applyBorder="1" applyAlignment="1">
      <alignment horizontal="center"/>
    </xf>
    <xf numFmtId="0" fontId="46" fillId="8" borderId="18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47" fillId="0" borderId="24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66" fontId="47" fillId="0" borderId="18" xfId="0" applyNumberFormat="1" applyFont="1" applyBorder="1" applyAlignment="1">
      <alignment horizontal="center"/>
    </xf>
    <xf numFmtId="0" fontId="47" fillId="8" borderId="24" xfId="0" applyFont="1" applyFill="1" applyBorder="1" applyAlignment="1">
      <alignment horizontal="center"/>
    </xf>
    <xf numFmtId="2" fontId="47" fillId="0" borderId="24" xfId="0" applyNumberFormat="1" applyFont="1" applyBorder="1" applyAlignment="1">
      <alignment horizontal="center"/>
    </xf>
    <xf numFmtId="0" fontId="47" fillId="8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2</xdr:row>
      <xdr:rowOff>19050</xdr:rowOff>
    </xdr:from>
    <xdr:to>
      <xdr:col>12</xdr:col>
      <xdr:colOff>371475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00050"/>
          <a:ext cx="21431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Y8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.421875" style="61" customWidth="1"/>
    <col min="3" max="3" width="30.421875" style="0" customWidth="1"/>
    <col min="4" max="4" width="9.57421875" style="17" customWidth="1"/>
    <col min="5" max="5" width="13.140625" style="0" bestFit="1" customWidth="1"/>
    <col min="7" max="7" width="9.57421875" style="38" bestFit="1" customWidth="1"/>
    <col min="8" max="8" width="3.57421875" style="0" customWidth="1"/>
    <col min="9" max="9" width="4.421875" style="61" customWidth="1"/>
    <col min="10" max="10" width="26.421875" style="0" customWidth="1"/>
    <col min="11" max="11" width="10.140625" style="0" customWidth="1"/>
    <col min="14" max="14" width="9.140625" style="38" customWidth="1"/>
    <col min="15" max="15" width="3.421875" style="38" customWidth="1"/>
    <col min="16" max="16" width="4.57421875" style="61" customWidth="1"/>
    <col min="17" max="17" width="28.00390625" style="0" customWidth="1"/>
    <col min="18" max="18" width="11.7109375" style="17" customWidth="1"/>
    <col min="19" max="19" width="13.57421875" style="17" bestFit="1" customWidth="1"/>
    <col min="21" max="21" width="10.140625" style="33" customWidth="1"/>
    <col min="22" max="22" width="6.00390625" style="32" customWidth="1"/>
    <col min="25" max="25" width="12.00390625" style="0" bestFit="1" customWidth="1"/>
  </cols>
  <sheetData>
    <row r="1" spans="21:25" ht="15">
      <c r="U1" s="62" t="s">
        <v>168</v>
      </c>
      <c r="W1" s="63" t="s">
        <v>169</v>
      </c>
      <c r="X1" s="64"/>
      <c r="Y1" s="64"/>
    </row>
    <row r="2" spans="2:25" ht="15">
      <c r="B2" s="65"/>
      <c r="C2" s="9" t="s">
        <v>170</v>
      </c>
      <c r="D2" s="22"/>
      <c r="E2" s="9" t="s">
        <v>75</v>
      </c>
      <c r="F2" s="9"/>
      <c r="G2" s="46"/>
      <c r="I2" s="65"/>
      <c r="J2" s="9"/>
      <c r="K2" s="9"/>
      <c r="L2" s="9"/>
      <c r="M2" s="9"/>
      <c r="N2" s="46" t="s">
        <v>96</v>
      </c>
      <c r="P2" s="65"/>
      <c r="Q2" s="9"/>
      <c r="R2" s="22"/>
      <c r="S2" s="22"/>
      <c r="T2" s="9"/>
      <c r="U2" s="50"/>
      <c r="W2" s="66" t="s">
        <v>171</v>
      </c>
      <c r="X2" s="64"/>
      <c r="Y2" s="64"/>
    </row>
    <row r="3" spans="2:25" ht="15">
      <c r="B3" s="67"/>
      <c r="C3" s="45" t="s">
        <v>95</v>
      </c>
      <c r="D3" s="15" t="s">
        <v>69</v>
      </c>
      <c r="E3" s="16">
        <v>100</v>
      </c>
      <c r="F3" s="5" t="s">
        <v>8</v>
      </c>
      <c r="G3" s="47" t="s">
        <v>96</v>
      </c>
      <c r="I3" s="67"/>
      <c r="J3" s="45" t="s">
        <v>97</v>
      </c>
      <c r="K3" s="5"/>
      <c r="L3" s="5"/>
      <c r="M3" s="5"/>
      <c r="N3" s="52" t="s">
        <v>149</v>
      </c>
      <c r="O3" s="39"/>
      <c r="P3" s="67"/>
      <c r="Q3" s="45" t="s">
        <v>98</v>
      </c>
      <c r="R3" s="15" t="s">
        <v>69</v>
      </c>
      <c r="S3" s="16">
        <v>100</v>
      </c>
      <c r="T3" s="5" t="s">
        <v>8</v>
      </c>
      <c r="U3" s="47" t="s">
        <v>96</v>
      </c>
      <c r="W3" s="66" t="s">
        <v>172</v>
      </c>
      <c r="X3" s="64"/>
      <c r="Y3" s="64"/>
    </row>
    <row r="4" spans="2:25" ht="15">
      <c r="B4" s="67"/>
      <c r="D4" s="15"/>
      <c r="E4" s="15" t="s">
        <v>99</v>
      </c>
      <c r="F4" s="5"/>
      <c r="G4" s="47" t="s">
        <v>100</v>
      </c>
      <c r="I4" s="67"/>
      <c r="J4" s="5"/>
      <c r="K4" s="5"/>
      <c r="L4" s="15" t="s">
        <v>99</v>
      </c>
      <c r="M4" s="5"/>
      <c r="N4" s="47" t="s">
        <v>145</v>
      </c>
      <c r="P4" s="67"/>
      <c r="Q4" s="45" t="s">
        <v>148</v>
      </c>
      <c r="R4" s="15" t="s">
        <v>76</v>
      </c>
      <c r="S4" s="16">
        <v>100</v>
      </c>
      <c r="T4" s="5" t="s">
        <v>68</v>
      </c>
      <c r="U4" s="68" t="s">
        <v>146</v>
      </c>
      <c r="W4" s="66" t="s">
        <v>173</v>
      </c>
      <c r="X4" s="64"/>
      <c r="Y4" s="64"/>
    </row>
    <row r="5" spans="2:25" ht="15">
      <c r="B5" s="67">
        <v>1</v>
      </c>
      <c r="C5" s="19" t="s">
        <v>84</v>
      </c>
      <c r="D5" s="20" t="s">
        <v>101</v>
      </c>
      <c r="E5" s="23">
        <f>sV_p(E3)</f>
        <v>7.3588066410693544</v>
      </c>
      <c r="F5" s="19" t="s">
        <v>80</v>
      </c>
      <c r="G5" s="47">
        <v>7.36</v>
      </c>
      <c r="I5" s="67" t="s">
        <v>75</v>
      </c>
      <c r="J5" s="5" t="s">
        <v>75</v>
      </c>
      <c r="K5" s="20" t="s">
        <v>69</v>
      </c>
      <c r="L5" s="58">
        <v>1000</v>
      </c>
      <c r="M5" s="19" t="s">
        <v>8</v>
      </c>
      <c r="N5" s="47"/>
      <c r="P5" s="67"/>
      <c r="Q5" s="5"/>
      <c r="R5" s="15"/>
      <c r="S5" s="15" t="s">
        <v>99</v>
      </c>
      <c r="T5" s="5"/>
      <c r="U5" s="51" t="s">
        <v>147</v>
      </c>
      <c r="W5" s="66" t="s">
        <v>174</v>
      </c>
      <c r="X5" s="64"/>
      <c r="Y5" s="64"/>
    </row>
    <row r="6" spans="2:25" ht="15">
      <c r="B6" s="67">
        <v>2</v>
      </c>
      <c r="C6" s="19" t="s">
        <v>79</v>
      </c>
      <c r="D6" s="20" t="s">
        <v>102</v>
      </c>
      <c r="E6" s="23">
        <f>sL_p(E3)</f>
        <v>1.3025601737745953</v>
      </c>
      <c r="F6" s="19" t="s">
        <v>80</v>
      </c>
      <c r="G6" s="47">
        <v>1.3</v>
      </c>
      <c r="I6" s="67" t="s">
        <v>75</v>
      </c>
      <c r="J6" s="5"/>
      <c r="K6" s="27" t="s">
        <v>74</v>
      </c>
      <c r="L6" s="44">
        <v>0.8</v>
      </c>
      <c r="M6" s="19" t="s">
        <v>73</v>
      </c>
      <c r="N6" s="47"/>
      <c r="P6" s="79">
        <v>1</v>
      </c>
      <c r="Q6" s="41" t="s">
        <v>175</v>
      </c>
      <c r="R6" s="20" t="s">
        <v>176</v>
      </c>
      <c r="S6" s="29">
        <f>s_pT(S3,S4)</f>
        <v>7.360999213866662</v>
      </c>
      <c r="T6" s="53" t="s">
        <v>3</v>
      </c>
      <c r="U6" s="92">
        <v>7.361</v>
      </c>
      <c r="W6" s="64"/>
      <c r="X6" s="64"/>
      <c r="Y6" s="64"/>
    </row>
    <row r="7" spans="2:21" ht="15">
      <c r="B7" s="67">
        <v>3</v>
      </c>
      <c r="C7" s="19" t="s">
        <v>177</v>
      </c>
      <c r="D7" s="20" t="s">
        <v>103</v>
      </c>
      <c r="E7" s="21">
        <f>Tsat_P(E3)</f>
        <v>99.60591861133764</v>
      </c>
      <c r="F7" s="19" t="s">
        <v>68</v>
      </c>
      <c r="G7" s="47">
        <v>99.6</v>
      </c>
      <c r="I7" s="67"/>
      <c r="J7" s="5"/>
      <c r="K7" s="5"/>
      <c r="L7" s="5"/>
      <c r="M7" s="5"/>
      <c r="N7" s="47"/>
      <c r="P7" s="77">
        <v>2</v>
      </c>
      <c r="Q7" s="41" t="s">
        <v>178</v>
      </c>
      <c r="R7" s="20" t="s">
        <v>179</v>
      </c>
      <c r="S7" s="21">
        <f>h_pt(S3,S4)</f>
        <v>2675.7673672058295</v>
      </c>
      <c r="T7" s="53" t="s">
        <v>1</v>
      </c>
      <c r="U7" s="91">
        <v>2675.8</v>
      </c>
    </row>
    <row r="8" spans="2:21" ht="14.25" customHeight="1">
      <c r="B8" s="67">
        <v>4</v>
      </c>
      <c r="C8" s="19" t="s">
        <v>78</v>
      </c>
      <c r="D8" s="20" t="s">
        <v>104</v>
      </c>
      <c r="E8" s="21">
        <f>hL_p(E3)</f>
        <v>417.4364858162317</v>
      </c>
      <c r="F8" s="19" t="s">
        <v>1</v>
      </c>
      <c r="G8" s="47">
        <v>417.4</v>
      </c>
      <c r="I8" s="67" t="s">
        <v>75</v>
      </c>
      <c r="J8" s="5"/>
      <c r="K8" s="19" t="s">
        <v>103</v>
      </c>
      <c r="L8" s="23">
        <f>Tsat_P(L5)</f>
        <v>179.88563239146646</v>
      </c>
      <c r="M8" s="53" t="s">
        <v>68</v>
      </c>
      <c r="N8" s="88">
        <v>179.89</v>
      </c>
      <c r="P8" s="80">
        <v>3</v>
      </c>
      <c r="Q8" s="41" t="s">
        <v>180</v>
      </c>
      <c r="R8" s="20" t="s">
        <v>181</v>
      </c>
      <c r="S8" s="29">
        <f>v_pT(S3,S4)</f>
        <v>1.6959594073982218</v>
      </c>
      <c r="T8" s="53" t="s">
        <v>4</v>
      </c>
      <c r="U8" s="93">
        <v>1.6959</v>
      </c>
    </row>
    <row r="9" spans="2:22" ht="14.25" customHeight="1">
      <c r="B9" s="67"/>
      <c r="C9" s="5"/>
      <c r="D9" s="15"/>
      <c r="E9" s="5"/>
      <c r="F9" s="5"/>
      <c r="G9" s="47"/>
      <c r="I9" s="79">
        <v>1</v>
      </c>
      <c r="J9" s="41" t="s">
        <v>182</v>
      </c>
      <c r="K9" s="27" t="s">
        <v>105</v>
      </c>
      <c r="L9" s="18">
        <f>h_px(L5,L6)</f>
        <v>2374.2321990148116</v>
      </c>
      <c r="M9" s="10" t="s">
        <v>1</v>
      </c>
      <c r="N9" s="81">
        <v>2374.2</v>
      </c>
      <c r="P9" s="67"/>
      <c r="Q9" s="5"/>
      <c r="R9" s="15"/>
      <c r="S9" s="15"/>
      <c r="T9" s="5"/>
      <c r="U9" s="51"/>
      <c r="V9" s="32" t="s">
        <v>75</v>
      </c>
    </row>
    <row r="10" spans="2:21" ht="14.25" customHeight="1">
      <c r="B10" s="67"/>
      <c r="C10" s="45" t="s">
        <v>77</v>
      </c>
      <c r="D10" s="15"/>
      <c r="E10" s="5"/>
      <c r="F10" s="5"/>
      <c r="G10" s="47"/>
      <c r="I10" s="77">
        <v>2</v>
      </c>
      <c r="J10" s="41" t="s">
        <v>183</v>
      </c>
      <c r="K10" s="20" t="s">
        <v>184</v>
      </c>
      <c r="L10" s="21">
        <f>h_tx(L8,L6)</f>
        <v>2374.232199014811</v>
      </c>
      <c r="M10" s="53" t="s">
        <v>1</v>
      </c>
      <c r="N10" s="81">
        <v>2374.2</v>
      </c>
      <c r="P10" s="79">
        <v>1</v>
      </c>
      <c r="Q10" s="41" t="s">
        <v>185</v>
      </c>
      <c r="R10" s="20" t="s">
        <v>186</v>
      </c>
      <c r="S10" s="34">
        <f>my_pT(S3,S4)</f>
        <v>1.2270405707196506E-05</v>
      </c>
      <c r="T10" s="53" t="s">
        <v>5</v>
      </c>
      <c r="U10" s="92">
        <v>1.23E-05</v>
      </c>
    </row>
    <row r="11" spans="2:21" ht="14.25" customHeight="1">
      <c r="B11" s="79">
        <v>1</v>
      </c>
      <c r="C11" s="41" t="s">
        <v>187</v>
      </c>
      <c r="D11" s="40" t="s">
        <v>73</v>
      </c>
      <c r="E11" s="42"/>
      <c r="F11" s="78" t="s">
        <v>8</v>
      </c>
      <c r="G11" s="88">
        <v>1</v>
      </c>
      <c r="I11" s="77">
        <v>3</v>
      </c>
      <c r="J11" s="41" t="s">
        <v>188</v>
      </c>
      <c r="K11" s="20" t="s">
        <v>112</v>
      </c>
      <c r="L11" s="23">
        <f>s_ph(L5,L9)</f>
        <v>5.6956694672615615</v>
      </c>
      <c r="M11" s="53" t="s">
        <v>3</v>
      </c>
      <c r="N11" s="84">
        <v>5.7</v>
      </c>
      <c r="O11" s="37"/>
      <c r="P11" s="77">
        <v>2</v>
      </c>
      <c r="Q11" s="41" t="s">
        <v>189</v>
      </c>
      <c r="R11" s="20" t="s">
        <v>106</v>
      </c>
      <c r="S11" s="34">
        <f>my_ph(S3,S7)</f>
        <v>1.227050542211552E-05</v>
      </c>
      <c r="T11" s="53" t="s">
        <v>5</v>
      </c>
      <c r="U11" s="94"/>
    </row>
    <row r="12" spans="2:21" ht="14.25" customHeight="1">
      <c r="B12" s="77">
        <v>2</v>
      </c>
      <c r="C12" s="41" t="s">
        <v>190</v>
      </c>
      <c r="D12" s="20" t="s">
        <v>191</v>
      </c>
      <c r="E12" s="27">
        <f>psat_t(E7)</f>
        <v>99.99999999999896</v>
      </c>
      <c r="F12" s="53" t="s">
        <v>8</v>
      </c>
      <c r="G12" s="81">
        <v>1</v>
      </c>
      <c r="I12" s="77">
        <v>4</v>
      </c>
      <c r="J12" s="41" t="s">
        <v>192</v>
      </c>
      <c r="K12" s="20" t="s">
        <v>155</v>
      </c>
      <c r="L12" s="69">
        <f>v_px(L5,L6)</f>
        <v>0.1557045542109938</v>
      </c>
      <c r="M12" s="53" t="s">
        <v>70</v>
      </c>
      <c r="N12" s="81">
        <v>0.1557</v>
      </c>
      <c r="P12" s="77">
        <v>3</v>
      </c>
      <c r="Q12" s="41" t="s">
        <v>193</v>
      </c>
      <c r="R12" s="20" t="s">
        <v>107</v>
      </c>
      <c r="S12" s="70">
        <f>my_ps(S3,S6)</f>
        <v>1.2270642544710562E-05</v>
      </c>
      <c r="T12" s="87" t="s">
        <v>5</v>
      </c>
      <c r="U12" s="94"/>
    </row>
    <row r="13" spans="2:21" ht="14.25" customHeight="1">
      <c r="B13" s="77">
        <v>3</v>
      </c>
      <c r="C13" s="41" t="s">
        <v>194</v>
      </c>
      <c r="D13" s="25" t="s">
        <v>73</v>
      </c>
      <c r="E13" s="49"/>
      <c r="F13" s="53" t="s">
        <v>68</v>
      </c>
      <c r="G13" s="81">
        <v>99.6</v>
      </c>
      <c r="I13" s="77">
        <v>5</v>
      </c>
      <c r="J13" s="41" t="s">
        <v>195</v>
      </c>
      <c r="K13" s="20" t="s">
        <v>154</v>
      </c>
      <c r="L13" s="69">
        <f>v_tx(L8,L6)</f>
        <v>0.15570455421099458</v>
      </c>
      <c r="M13" s="53" t="s">
        <v>70</v>
      </c>
      <c r="N13" s="81">
        <v>0.1557</v>
      </c>
      <c r="P13" s="77">
        <v>4</v>
      </c>
      <c r="Q13" s="41" t="s">
        <v>196</v>
      </c>
      <c r="R13" s="40" t="s">
        <v>197</v>
      </c>
      <c r="S13" s="34">
        <f>ny_PT(S3,S4)</f>
        <v>2.0810109991712745E-05</v>
      </c>
      <c r="T13" s="53" t="s">
        <v>151</v>
      </c>
      <c r="U13" s="91"/>
    </row>
    <row r="14" spans="2:21" ht="14.25" customHeight="1">
      <c r="B14" s="77">
        <v>4</v>
      </c>
      <c r="C14" s="78" t="s">
        <v>198</v>
      </c>
      <c r="D14" s="20" t="s">
        <v>199</v>
      </c>
      <c r="E14" s="55">
        <f>myL_P(E3)</f>
        <v>0.0002832155990618093</v>
      </c>
      <c r="F14" s="87" t="s">
        <v>5</v>
      </c>
      <c r="G14" s="81">
        <v>0.00028</v>
      </c>
      <c r="I14" s="77">
        <v>6</v>
      </c>
      <c r="J14" s="41" t="s">
        <v>200</v>
      </c>
      <c r="K14" s="20" t="s">
        <v>108</v>
      </c>
      <c r="L14" s="20">
        <f>x_ph(L5,L9)</f>
        <v>0.8</v>
      </c>
      <c r="M14" s="53" t="s">
        <v>72</v>
      </c>
      <c r="N14" s="81">
        <v>0.8</v>
      </c>
      <c r="P14" s="77">
        <v>5</v>
      </c>
      <c r="Q14" s="41" t="s">
        <v>201</v>
      </c>
      <c r="R14" s="40" t="s">
        <v>202</v>
      </c>
      <c r="S14" s="34">
        <f>ny_ph(S3,S7)</f>
        <v>2.0810440940920003E-05</v>
      </c>
      <c r="T14" s="53" t="s">
        <v>151</v>
      </c>
      <c r="U14" s="91"/>
    </row>
    <row r="15" spans="2:21" ht="14.25" customHeight="1">
      <c r="B15" s="77">
        <v>5</v>
      </c>
      <c r="C15" s="78" t="s">
        <v>203</v>
      </c>
      <c r="D15" s="25" t="s">
        <v>164</v>
      </c>
      <c r="E15" s="56">
        <f>myL_t(E7)</f>
        <v>0.00028291685639252956</v>
      </c>
      <c r="F15" s="87" t="s">
        <v>5</v>
      </c>
      <c r="G15" s="81"/>
      <c r="I15" s="77">
        <v>7</v>
      </c>
      <c r="J15" s="41" t="s">
        <v>204</v>
      </c>
      <c r="K15" s="20" t="s">
        <v>110</v>
      </c>
      <c r="L15" s="20">
        <f>x_ps(L5,L11)</f>
        <v>0.8</v>
      </c>
      <c r="M15" s="53" t="s">
        <v>72</v>
      </c>
      <c r="N15" s="81">
        <v>0.8</v>
      </c>
      <c r="P15" s="77">
        <v>6</v>
      </c>
      <c r="Q15" s="41" t="s">
        <v>205</v>
      </c>
      <c r="R15" s="40" t="s">
        <v>206</v>
      </c>
      <c r="S15" s="34">
        <f>ny_ps(S3,S6)</f>
        <v>2.0810734493160173E-05</v>
      </c>
      <c r="T15" s="53" t="s">
        <v>151</v>
      </c>
      <c r="U15" s="91"/>
    </row>
    <row r="16" spans="2:22" ht="14.25" customHeight="1">
      <c r="B16" s="77">
        <v>6</v>
      </c>
      <c r="C16" s="78" t="s">
        <v>207</v>
      </c>
      <c r="D16" s="20" t="s">
        <v>208</v>
      </c>
      <c r="E16" s="56">
        <f>nyL_P(E3)</f>
        <v>2.9543574017636725E-07</v>
      </c>
      <c r="F16" s="86" t="s">
        <v>151</v>
      </c>
      <c r="G16" s="81"/>
      <c r="I16" s="77">
        <v>8</v>
      </c>
      <c r="J16" s="41" t="s">
        <v>209</v>
      </c>
      <c r="K16" s="20" t="s">
        <v>156</v>
      </c>
      <c r="L16" s="59">
        <f>x_ts(L8,L11)</f>
        <v>0.7999999999999995</v>
      </c>
      <c r="M16" s="53" t="s">
        <v>72</v>
      </c>
      <c r="N16" s="81">
        <v>0.8</v>
      </c>
      <c r="P16" s="77">
        <v>7</v>
      </c>
      <c r="Q16" s="41" t="s">
        <v>178</v>
      </c>
      <c r="R16" s="20" t="s">
        <v>109</v>
      </c>
      <c r="S16" s="21">
        <f>h_pt(S3,S4)</f>
        <v>2675.7673672058295</v>
      </c>
      <c r="T16" s="53" t="s">
        <v>1</v>
      </c>
      <c r="U16" s="91">
        <v>2675.8</v>
      </c>
      <c r="V16"/>
    </row>
    <row r="17" spans="2:21" ht="15">
      <c r="B17" s="77">
        <v>7</v>
      </c>
      <c r="C17" s="41" t="s">
        <v>210</v>
      </c>
      <c r="D17" s="15" t="s">
        <v>165</v>
      </c>
      <c r="E17" s="71">
        <f>nyL_t(E7)</f>
        <v>2.9512410740644466E-07</v>
      </c>
      <c r="F17" s="86" t="s">
        <v>151</v>
      </c>
      <c r="G17" s="81"/>
      <c r="I17" s="77">
        <v>9</v>
      </c>
      <c r="J17" s="41" t="s">
        <v>211</v>
      </c>
      <c r="K17" s="20" t="s">
        <v>212</v>
      </c>
      <c r="L17" s="60">
        <f>hfg_p(L5)</f>
        <v>2014.4366933492515</v>
      </c>
      <c r="M17" s="53" t="s">
        <v>1</v>
      </c>
      <c r="N17" s="81">
        <v>2014.4</v>
      </c>
      <c r="P17" s="77">
        <v>8</v>
      </c>
      <c r="Q17" s="41" t="s">
        <v>213</v>
      </c>
      <c r="R17" s="20" t="s">
        <v>87</v>
      </c>
      <c r="S17" s="18">
        <f>h_ps(S3,S6)</f>
        <v>2675.7750326915943</v>
      </c>
      <c r="T17" s="10" t="s">
        <v>1</v>
      </c>
      <c r="U17" s="91">
        <v>2675.8</v>
      </c>
    </row>
    <row r="18" spans="2:21" ht="15">
      <c r="B18" s="77">
        <v>8</v>
      </c>
      <c r="C18" s="12" t="s">
        <v>214</v>
      </c>
      <c r="D18" s="25" t="s">
        <v>104</v>
      </c>
      <c r="E18" s="26">
        <f>hL_p(E3)</f>
        <v>417.4364858162317</v>
      </c>
      <c r="F18" s="6" t="s">
        <v>1</v>
      </c>
      <c r="G18" s="82">
        <v>417</v>
      </c>
      <c r="I18" s="80">
        <v>10</v>
      </c>
      <c r="J18" s="41" t="s">
        <v>215</v>
      </c>
      <c r="K18" s="20" t="s">
        <v>216</v>
      </c>
      <c r="L18" s="60">
        <f>hfg_t(L8)</f>
        <v>2014.4366933492524</v>
      </c>
      <c r="M18" s="53" t="s">
        <v>1</v>
      </c>
      <c r="N18" s="89">
        <v>2014.4</v>
      </c>
      <c r="P18" s="77">
        <v>9</v>
      </c>
      <c r="Q18" s="90" t="s">
        <v>217</v>
      </c>
      <c r="R18" s="20" t="s">
        <v>218</v>
      </c>
      <c r="S18" s="35"/>
      <c r="T18" s="53" t="s">
        <v>1</v>
      </c>
      <c r="U18" s="91">
        <v>2675.8</v>
      </c>
    </row>
    <row r="19" spans="2:21" ht="15">
      <c r="B19" s="77">
        <v>9</v>
      </c>
      <c r="C19" s="41" t="s">
        <v>219</v>
      </c>
      <c r="D19" s="20" t="s">
        <v>111</v>
      </c>
      <c r="E19" s="21">
        <f>hL_T(E7)</f>
        <v>417.4364858162309</v>
      </c>
      <c r="F19" s="53" t="s">
        <v>1</v>
      </c>
      <c r="G19" s="82">
        <v>417</v>
      </c>
      <c r="I19" s="67" t="s">
        <v>75</v>
      </c>
      <c r="N19" s="47"/>
      <c r="P19" s="77">
        <v>10</v>
      </c>
      <c r="Q19" s="90" t="s">
        <v>220</v>
      </c>
      <c r="R19" s="20" t="s">
        <v>221</v>
      </c>
      <c r="S19" s="21">
        <f>h_prho(S3,S51)</f>
        <v>2675.7673834687885</v>
      </c>
      <c r="T19" s="53" t="s">
        <v>1</v>
      </c>
      <c r="U19" s="94"/>
    </row>
    <row r="20" spans="2:21" ht="15">
      <c r="B20" s="77">
        <v>10</v>
      </c>
      <c r="C20" s="41" t="s">
        <v>222</v>
      </c>
      <c r="D20" s="20" t="s">
        <v>102</v>
      </c>
      <c r="E20" s="21">
        <f>sL_p(E3)</f>
        <v>1.3025601737745953</v>
      </c>
      <c r="F20" s="53" t="s">
        <v>80</v>
      </c>
      <c r="G20" s="81">
        <v>1.3</v>
      </c>
      <c r="I20" s="67" t="s">
        <v>75</v>
      </c>
      <c r="N20" s="47"/>
      <c r="P20" s="77">
        <v>11</v>
      </c>
      <c r="Q20" s="41" t="s">
        <v>175</v>
      </c>
      <c r="R20" s="20" t="s">
        <v>114</v>
      </c>
      <c r="S20" s="29">
        <f>s_pT(S3,S4)</f>
        <v>7.360999213866662</v>
      </c>
      <c r="T20" s="53" t="s">
        <v>3</v>
      </c>
      <c r="U20" s="91">
        <v>7.361</v>
      </c>
    </row>
    <row r="21" spans="2:21" ht="15">
      <c r="B21" s="77">
        <v>11</v>
      </c>
      <c r="C21" s="41" t="s">
        <v>223</v>
      </c>
      <c r="D21" s="20" t="s">
        <v>113</v>
      </c>
      <c r="E21" s="21">
        <f>sL_T(E7)</f>
        <v>1.3025601737745953</v>
      </c>
      <c r="F21" s="53" t="s">
        <v>80</v>
      </c>
      <c r="G21" s="81">
        <v>1.3</v>
      </c>
      <c r="I21" s="67" t="s">
        <v>75</v>
      </c>
      <c r="J21" s="5"/>
      <c r="K21" s="5"/>
      <c r="L21" s="5"/>
      <c r="M21" s="5"/>
      <c r="N21" s="47"/>
      <c r="P21" s="77">
        <v>12</v>
      </c>
      <c r="Q21" s="41" t="s">
        <v>188</v>
      </c>
      <c r="R21" s="20" t="s">
        <v>112</v>
      </c>
      <c r="S21" s="29">
        <f>s_ph(S3,S7)</f>
        <v>7.361014133363731</v>
      </c>
      <c r="T21" s="53" t="s">
        <v>3</v>
      </c>
      <c r="U21" s="91">
        <v>7.361</v>
      </c>
    </row>
    <row r="22" spans="2:21" ht="15">
      <c r="B22" s="77">
        <v>12</v>
      </c>
      <c r="C22" s="41" t="s">
        <v>224</v>
      </c>
      <c r="D22" s="20" t="s">
        <v>166</v>
      </c>
      <c r="E22" s="23">
        <f>tcL_p(E3)</f>
        <v>0.6775938217664319</v>
      </c>
      <c r="F22" s="53" t="s">
        <v>6</v>
      </c>
      <c r="G22" s="81"/>
      <c r="I22" s="67"/>
      <c r="J22" s="5"/>
      <c r="K22" s="5"/>
      <c r="L22" s="5"/>
      <c r="M22" s="5"/>
      <c r="N22" s="47"/>
      <c r="P22" s="77">
        <v>13</v>
      </c>
      <c r="Q22" s="41" t="s">
        <v>225</v>
      </c>
      <c r="R22" s="20" t="s">
        <v>116</v>
      </c>
      <c r="S22" s="24">
        <f>tc_pt(S3,S4)</f>
        <v>0.024781466501349585</v>
      </c>
      <c r="T22" s="53" t="s">
        <v>6</v>
      </c>
      <c r="U22" s="91">
        <v>0.0251</v>
      </c>
    </row>
    <row r="23" spans="2:21" ht="15">
      <c r="B23" s="77">
        <v>13</v>
      </c>
      <c r="C23" s="41" t="s">
        <v>226</v>
      </c>
      <c r="D23" s="20" t="s">
        <v>115</v>
      </c>
      <c r="E23" s="23">
        <f>tcL_T(E7)</f>
        <v>0.6775938217664319</v>
      </c>
      <c r="F23" s="53" t="s">
        <v>6</v>
      </c>
      <c r="G23" s="81">
        <v>0.68</v>
      </c>
      <c r="I23" s="67" t="s">
        <v>75</v>
      </c>
      <c r="J23" s="5"/>
      <c r="K23" s="5"/>
      <c r="L23" t="s">
        <v>75</v>
      </c>
      <c r="M23" s="5"/>
      <c r="N23" s="47"/>
      <c r="P23" s="77">
        <v>14</v>
      </c>
      <c r="Q23" s="41" t="s">
        <v>227</v>
      </c>
      <c r="R23" s="20" t="s">
        <v>94</v>
      </c>
      <c r="S23" s="24">
        <f>tc_ph(S3,S7)</f>
        <v>0.024781656151230534</v>
      </c>
      <c r="T23" s="53" t="s">
        <v>6</v>
      </c>
      <c r="U23" s="94"/>
    </row>
    <row r="24" spans="2:21" ht="15">
      <c r="B24" s="77">
        <v>14</v>
      </c>
      <c r="C24" s="41" t="s">
        <v>228</v>
      </c>
      <c r="D24" s="20" t="s">
        <v>229</v>
      </c>
      <c r="E24" s="72">
        <f>PrL_P(E3)</f>
        <v>1.7622902243870764</v>
      </c>
      <c r="F24" s="53" t="s">
        <v>72</v>
      </c>
      <c r="G24" s="81">
        <v>1.76</v>
      </c>
      <c r="I24" s="67" t="s">
        <v>75</v>
      </c>
      <c r="J24" s="5" t="s">
        <v>75</v>
      </c>
      <c r="K24" s="5"/>
      <c r="L24" t="s">
        <v>75</v>
      </c>
      <c r="M24" s="5"/>
      <c r="N24" s="47"/>
      <c r="P24" s="77">
        <v>15</v>
      </c>
      <c r="Q24" s="41" t="s">
        <v>230</v>
      </c>
      <c r="R24" s="25" t="s">
        <v>118</v>
      </c>
      <c r="S24" s="36">
        <f>tc_hs(S7,S6)</f>
        <v>0.02478163389679413</v>
      </c>
      <c r="T24" s="87" t="s">
        <v>6</v>
      </c>
      <c r="U24" s="94"/>
    </row>
    <row r="25" spans="2:21" ht="15">
      <c r="B25" s="77">
        <v>15</v>
      </c>
      <c r="C25" s="41" t="s">
        <v>231</v>
      </c>
      <c r="D25" s="20" t="s">
        <v>232</v>
      </c>
      <c r="E25" s="72">
        <f>PrL_t(E7)</f>
        <v>1.7603755249223831</v>
      </c>
      <c r="F25" s="53" t="s">
        <v>72</v>
      </c>
      <c r="G25" s="81"/>
      <c r="I25" s="67"/>
      <c r="J25" s="5"/>
      <c r="K25" s="5"/>
      <c r="M25" s="5"/>
      <c r="N25" s="47"/>
      <c r="P25" s="77">
        <v>16</v>
      </c>
      <c r="Q25" s="41" t="s">
        <v>233</v>
      </c>
      <c r="R25" s="20" t="s">
        <v>234</v>
      </c>
      <c r="S25" s="73">
        <f>Kappa_pt(S3,S4)</f>
        <v>1.3369293746627764</v>
      </c>
      <c r="T25" s="5"/>
      <c r="U25" s="91"/>
    </row>
    <row r="26" spans="2:21" ht="15">
      <c r="B26" s="77">
        <v>16</v>
      </c>
      <c r="C26" s="41" t="s">
        <v>235</v>
      </c>
      <c r="D26" s="20" t="s">
        <v>117</v>
      </c>
      <c r="E26" s="21">
        <f>wL_T(E7)</f>
        <v>1545.4519475339648</v>
      </c>
      <c r="F26" s="53" t="s">
        <v>2</v>
      </c>
      <c r="G26" s="81">
        <v>1545.5</v>
      </c>
      <c r="I26" s="67"/>
      <c r="J26" s="5"/>
      <c r="K26" s="5"/>
      <c r="L26" t="s">
        <v>75</v>
      </c>
      <c r="M26" s="5"/>
      <c r="N26" s="47"/>
      <c r="P26" s="77">
        <v>17</v>
      </c>
      <c r="Q26" s="41" t="s">
        <v>236</v>
      </c>
      <c r="R26" s="20" t="s">
        <v>237</v>
      </c>
      <c r="S26" s="74">
        <f>Kappa_ph(S3,S7)</f>
        <v>1.3369289637909323</v>
      </c>
      <c r="T26" s="53" t="s">
        <v>72</v>
      </c>
      <c r="U26" s="91">
        <v>1.315</v>
      </c>
    </row>
    <row r="27" spans="2:21" ht="15">
      <c r="B27" s="77">
        <v>17</v>
      </c>
      <c r="C27" s="41" t="s">
        <v>238</v>
      </c>
      <c r="D27" s="20" t="s">
        <v>119</v>
      </c>
      <c r="E27" s="21">
        <f>wL_p(E3)</f>
        <v>1545.4519475339648</v>
      </c>
      <c r="F27" s="53" t="s">
        <v>2</v>
      </c>
      <c r="G27" s="83"/>
      <c r="I27" s="67"/>
      <c r="J27" s="5"/>
      <c r="K27" s="5"/>
      <c r="L27" t="s">
        <v>75</v>
      </c>
      <c r="M27" s="5"/>
      <c r="N27" s="47"/>
      <c r="P27" s="77">
        <v>18</v>
      </c>
      <c r="Q27" s="41" t="s">
        <v>239</v>
      </c>
      <c r="R27" s="20"/>
      <c r="S27" s="35"/>
      <c r="T27" s="53" t="s">
        <v>72</v>
      </c>
      <c r="U27" s="91">
        <v>1.315</v>
      </c>
    </row>
    <row r="28" spans="2:21" ht="15">
      <c r="B28" s="77">
        <v>18</v>
      </c>
      <c r="C28" s="41" t="s">
        <v>240</v>
      </c>
      <c r="D28" s="20" t="s">
        <v>120</v>
      </c>
      <c r="E28" s="23">
        <f>CpL_p(E3)</f>
        <v>4.2161494308387475</v>
      </c>
      <c r="F28" s="53" t="s">
        <v>3</v>
      </c>
      <c r="G28" s="81">
        <v>4.22</v>
      </c>
      <c r="I28" s="67"/>
      <c r="J28" s="5"/>
      <c r="K28" s="5"/>
      <c r="L28" t="s">
        <v>75</v>
      </c>
      <c r="M28" s="5"/>
      <c r="N28" s="47"/>
      <c r="P28" s="77">
        <v>19</v>
      </c>
      <c r="Q28" s="41" t="s">
        <v>241</v>
      </c>
      <c r="R28" s="20"/>
      <c r="S28" s="35"/>
      <c r="T28" s="53" t="s">
        <v>72</v>
      </c>
      <c r="U28" s="91">
        <v>1.316</v>
      </c>
    </row>
    <row r="29" spans="2:21" ht="15">
      <c r="B29" s="77">
        <v>19</v>
      </c>
      <c r="C29" s="41" t="s">
        <v>240</v>
      </c>
      <c r="D29" s="20" t="s">
        <v>121</v>
      </c>
      <c r="E29" s="23">
        <f>CpL_T(E7)</f>
        <v>4.2161494308387475</v>
      </c>
      <c r="F29" s="53" t="s">
        <v>3</v>
      </c>
      <c r="G29" s="83"/>
      <c r="I29" s="67"/>
      <c r="J29" s="5"/>
      <c r="K29" s="5"/>
      <c r="L29" t="s">
        <v>75</v>
      </c>
      <c r="M29" s="5"/>
      <c r="N29" s="47"/>
      <c r="P29" s="77">
        <v>20</v>
      </c>
      <c r="Q29" s="41" t="s">
        <v>242</v>
      </c>
      <c r="R29" s="20" t="s">
        <v>243</v>
      </c>
      <c r="S29" s="29">
        <f>pr_pT(S3,S4)</f>
        <v>1.0269833483857327</v>
      </c>
      <c r="T29" s="53" t="s">
        <v>72</v>
      </c>
      <c r="U29" s="91">
        <v>1.015</v>
      </c>
    </row>
    <row r="30" spans="2:21" ht="15">
      <c r="B30" s="77">
        <v>20</v>
      </c>
      <c r="C30" s="41" t="s">
        <v>244</v>
      </c>
      <c r="D30" s="20" t="s">
        <v>245</v>
      </c>
      <c r="E30" s="28">
        <f>vL_T(E7)</f>
        <v>0.0010431478391551838</v>
      </c>
      <c r="F30" s="53" t="s">
        <v>70</v>
      </c>
      <c r="G30" s="81">
        <v>0.00104</v>
      </c>
      <c r="I30" s="67"/>
      <c r="J30" s="5"/>
      <c r="K30" s="5"/>
      <c r="L30" t="s">
        <v>75</v>
      </c>
      <c r="M30" s="5"/>
      <c r="N30" s="47"/>
      <c r="P30" s="77">
        <v>21</v>
      </c>
      <c r="Q30" s="41" t="s">
        <v>246</v>
      </c>
      <c r="R30" s="20" t="s">
        <v>123</v>
      </c>
      <c r="S30" s="29">
        <f>pr_ph(S3,S7)</f>
        <v>1.026977751276327</v>
      </c>
      <c r="T30" s="53" t="s">
        <v>73</v>
      </c>
      <c r="U30" s="94"/>
    </row>
    <row r="31" spans="2:21" ht="15">
      <c r="B31" s="77">
        <v>21</v>
      </c>
      <c r="C31" s="41" t="s">
        <v>247</v>
      </c>
      <c r="D31" s="20" t="s">
        <v>122</v>
      </c>
      <c r="E31" s="28">
        <f>vL_p(E3)</f>
        <v>0.0010431478391551838</v>
      </c>
      <c r="F31" s="53" t="s">
        <v>70</v>
      </c>
      <c r="G31" s="83"/>
      <c r="I31" s="67"/>
      <c r="J31" s="5"/>
      <c r="K31" s="5"/>
      <c r="L31" t="s">
        <v>75</v>
      </c>
      <c r="M31" s="5"/>
      <c r="N31" s="47"/>
      <c r="P31" s="77">
        <v>22</v>
      </c>
      <c r="Q31" s="90" t="s">
        <v>248</v>
      </c>
      <c r="R31" s="20" t="s">
        <v>249</v>
      </c>
      <c r="S31" s="35"/>
      <c r="T31" s="53" t="s">
        <v>8</v>
      </c>
      <c r="U31" s="95">
        <v>1</v>
      </c>
    </row>
    <row r="32" spans="2:21" ht="15">
      <c r="B32" s="77">
        <v>22</v>
      </c>
      <c r="C32" s="41" t="s">
        <v>250</v>
      </c>
      <c r="D32" s="20" t="s">
        <v>73</v>
      </c>
      <c r="E32" s="49"/>
      <c r="F32" s="53" t="s">
        <v>68</v>
      </c>
      <c r="G32" s="81">
        <v>99.6</v>
      </c>
      <c r="I32" s="67"/>
      <c r="J32" s="5"/>
      <c r="K32" s="5"/>
      <c r="L32" t="s">
        <v>75</v>
      </c>
      <c r="M32" s="5"/>
      <c r="N32" s="47"/>
      <c r="P32" s="77">
        <v>23</v>
      </c>
      <c r="Q32" s="41" t="s">
        <v>251</v>
      </c>
      <c r="R32" s="20" t="s">
        <v>252</v>
      </c>
      <c r="S32" s="35"/>
      <c r="T32" s="53" t="s">
        <v>8</v>
      </c>
      <c r="U32" s="95">
        <v>1</v>
      </c>
    </row>
    <row r="33" spans="2:21" ht="15">
      <c r="B33" s="77">
        <v>23</v>
      </c>
      <c r="C33" s="12" t="s">
        <v>253</v>
      </c>
      <c r="D33" s="25" t="s">
        <v>254</v>
      </c>
      <c r="E33" s="30">
        <f>st_T(E7)</f>
        <v>0.05898778418085993</v>
      </c>
      <c r="F33" s="87" t="s">
        <v>7</v>
      </c>
      <c r="G33" s="81">
        <v>0.059</v>
      </c>
      <c r="I33" s="67"/>
      <c r="J33" s="5"/>
      <c r="K33" s="5"/>
      <c r="L33" t="s">
        <v>75</v>
      </c>
      <c r="M33" s="5"/>
      <c r="N33" s="47"/>
      <c r="P33" s="77">
        <v>24</v>
      </c>
      <c r="Q33" s="41" t="s">
        <v>255</v>
      </c>
      <c r="R33" s="20" t="s">
        <v>256</v>
      </c>
      <c r="S33" s="21">
        <f>p_hs(S7,S6)</f>
        <v>99.9983399358245</v>
      </c>
      <c r="T33" s="53" t="s">
        <v>8</v>
      </c>
      <c r="U33" s="94"/>
    </row>
    <row r="34" spans="2:21" ht="15">
      <c r="B34" s="77">
        <v>24</v>
      </c>
      <c r="C34" s="12" t="s">
        <v>257</v>
      </c>
      <c r="D34" s="31" t="s">
        <v>124</v>
      </c>
      <c r="E34" s="29">
        <f>st_p(E3)</f>
        <v>0.05898778418085993</v>
      </c>
      <c r="F34" s="53" t="s">
        <v>7</v>
      </c>
      <c r="G34" s="83"/>
      <c r="I34" s="67"/>
      <c r="J34" s="5"/>
      <c r="K34" s="5"/>
      <c r="L34" t="s">
        <v>75</v>
      </c>
      <c r="M34" s="5"/>
      <c r="N34" s="47"/>
      <c r="P34" s="77">
        <v>25</v>
      </c>
      <c r="Q34" s="41" t="s">
        <v>258</v>
      </c>
      <c r="R34" s="25" t="s">
        <v>259</v>
      </c>
      <c r="S34" s="26">
        <f>p_hrho(S7,S51)</f>
        <v>100.00076680444181</v>
      </c>
      <c r="T34" s="87" t="s">
        <v>8</v>
      </c>
      <c r="U34" s="94"/>
    </row>
    <row r="35" spans="2:21" ht="15">
      <c r="B35" s="77">
        <v>25</v>
      </c>
      <c r="C35" s="41" t="s">
        <v>260</v>
      </c>
      <c r="D35" s="31" t="s">
        <v>261</v>
      </c>
      <c r="E35" s="21">
        <f>rhoL_T(E7)</f>
        <v>958.6368896760329</v>
      </c>
      <c r="F35" s="53" t="s">
        <v>71</v>
      </c>
      <c r="G35" s="83"/>
      <c r="I35" s="67"/>
      <c r="J35" s="5"/>
      <c r="K35" s="5"/>
      <c r="L35" t="s">
        <v>75</v>
      </c>
      <c r="M35" s="5"/>
      <c r="N35" s="47"/>
      <c r="P35" s="77">
        <v>26</v>
      </c>
      <c r="Q35" s="41" t="s">
        <v>262</v>
      </c>
      <c r="R35" s="20" t="s">
        <v>86</v>
      </c>
      <c r="S35" s="23">
        <f>w_pT(S3,S4)</f>
        <v>472.3375235248552</v>
      </c>
      <c r="T35" s="53" t="s">
        <v>2</v>
      </c>
      <c r="U35" s="91">
        <v>472.3</v>
      </c>
    </row>
    <row r="36" spans="2:21" ht="15">
      <c r="B36" s="77">
        <v>26</v>
      </c>
      <c r="C36" s="41" t="s">
        <v>263</v>
      </c>
      <c r="D36" s="31" t="s">
        <v>144</v>
      </c>
      <c r="E36" s="21">
        <f>rhoL_p(E3)</f>
        <v>958.6368896760329</v>
      </c>
      <c r="F36" s="53" t="s">
        <v>71</v>
      </c>
      <c r="G36" s="83"/>
      <c r="I36" s="67"/>
      <c r="J36" s="5"/>
      <c r="K36" s="5"/>
      <c r="L36" t="s">
        <v>75</v>
      </c>
      <c r="M36" s="5"/>
      <c r="N36" s="47"/>
      <c r="P36" s="77">
        <v>27</v>
      </c>
      <c r="Q36" s="41" t="s">
        <v>264</v>
      </c>
      <c r="R36" s="20" t="s">
        <v>125</v>
      </c>
      <c r="S36" s="23">
        <f>w_ph(S3,S7)</f>
        <v>472.3394501344921</v>
      </c>
      <c r="T36" s="53" t="s">
        <v>2</v>
      </c>
      <c r="U36" s="91">
        <v>472.3</v>
      </c>
    </row>
    <row r="37" spans="2:21" ht="15">
      <c r="B37" s="77">
        <v>27</v>
      </c>
      <c r="C37" s="41" t="s">
        <v>265</v>
      </c>
      <c r="D37" s="31" t="s">
        <v>266</v>
      </c>
      <c r="E37" s="21">
        <f>uL_T(E7)</f>
        <v>417.3321710323162</v>
      </c>
      <c r="F37" s="53" t="s">
        <v>1</v>
      </c>
      <c r="G37" s="83"/>
      <c r="I37" s="67"/>
      <c r="J37" s="5"/>
      <c r="K37" s="5"/>
      <c r="L37" t="s">
        <v>75</v>
      </c>
      <c r="M37" s="5"/>
      <c r="N37" s="47"/>
      <c r="P37" s="77">
        <v>28</v>
      </c>
      <c r="Q37" s="41" t="s">
        <v>267</v>
      </c>
      <c r="R37" s="20" t="s">
        <v>93</v>
      </c>
      <c r="S37" s="23">
        <f>w_ps(S3,S6)</f>
        <v>472.340176252989</v>
      </c>
      <c r="T37" s="53" t="s">
        <v>2</v>
      </c>
      <c r="U37" s="94"/>
    </row>
    <row r="38" spans="2:21" ht="15">
      <c r="B38" s="80">
        <v>28</v>
      </c>
      <c r="C38" s="41" t="s">
        <v>268</v>
      </c>
      <c r="D38" s="31" t="s">
        <v>126</v>
      </c>
      <c r="E38" s="21">
        <f>uL_p(E3)</f>
        <v>417.3321710323162</v>
      </c>
      <c r="F38" s="53" t="s">
        <v>1</v>
      </c>
      <c r="G38" s="85"/>
      <c r="I38" s="75"/>
      <c r="J38" s="11"/>
      <c r="K38" s="11"/>
      <c r="L38" s="11"/>
      <c r="M38" s="11"/>
      <c r="N38" s="48"/>
      <c r="P38" s="77">
        <v>29</v>
      </c>
      <c r="Q38" s="41" t="s">
        <v>269</v>
      </c>
      <c r="R38" s="20" t="s">
        <v>270</v>
      </c>
      <c r="S38" s="29">
        <f>Cp_pT(S3,S4)</f>
        <v>2.0741085545801092</v>
      </c>
      <c r="T38" s="53" t="s">
        <v>3</v>
      </c>
      <c r="U38" s="91">
        <v>2.074</v>
      </c>
    </row>
    <row r="39" spans="2:21" ht="15">
      <c r="B39" s="67"/>
      <c r="C39" s="5"/>
      <c r="D39" s="15"/>
      <c r="E39" s="5"/>
      <c r="F39" s="5"/>
      <c r="G39" s="47"/>
      <c r="P39" s="77">
        <v>30</v>
      </c>
      <c r="Q39" s="41" t="s">
        <v>271</v>
      </c>
      <c r="R39" s="20" t="s">
        <v>127</v>
      </c>
      <c r="S39" s="29">
        <f>Cp_ph(S3,S7)</f>
        <v>2.0740962683757243</v>
      </c>
      <c r="T39" s="53" t="s">
        <v>3</v>
      </c>
      <c r="U39" s="94"/>
    </row>
    <row r="40" spans="2:21" ht="15">
      <c r="B40" s="67"/>
      <c r="C40" s="45" t="s">
        <v>81</v>
      </c>
      <c r="D40" s="15"/>
      <c r="E40" s="5"/>
      <c r="F40" s="5"/>
      <c r="G40" s="47"/>
      <c r="P40" s="77">
        <v>31</v>
      </c>
      <c r="Q40" s="41" t="s">
        <v>272</v>
      </c>
      <c r="R40" s="20" t="s">
        <v>91</v>
      </c>
      <c r="S40" s="29">
        <f>Cp_ps(S3,S6)</f>
        <v>2.074091638364638</v>
      </c>
      <c r="T40" s="53" t="s">
        <v>3</v>
      </c>
      <c r="U40" s="94"/>
    </row>
    <row r="41" spans="2:21" ht="15">
      <c r="B41" s="79">
        <v>1</v>
      </c>
      <c r="C41" s="78" t="s">
        <v>273</v>
      </c>
      <c r="D41" s="20" t="s">
        <v>274</v>
      </c>
      <c r="E41" s="57">
        <f>myV_P(E3)</f>
        <v>1.225948301143773E-05</v>
      </c>
      <c r="F41" s="9" t="s">
        <v>5</v>
      </c>
      <c r="G41" s="88">
        <v>1.2E-05</v>
      </c>
      <c r="P41" s="77">
        <v>32</v>
      </c>
      <c r="Q41" s="41" t="s">
        <v>275</v>
      </c>
      <c r="R41" s="20" t="s">
        <v>276</v>
      </c>
      <c r="S41" s="29">
        <f>Cv_pT(S3,S4)</f>
        <v>1.5513972494644879</v>
      </c>
      <c r="T41" s="53" t="s">
        <v>3</v>
      </c>
      <c r="U41" s="91">
        <v>1.551</v>
      </c>
    </row>
    <row r="42" spans="2:21" ht="15">
      <c r="B42" s="77">
        <v>2</v>
      </c>
      <c r="C42" s="78" t="s">
        <v>277</v>
      </c>
      <c r="D42" s="20" t="s">
        <v>278</v>
      </c>
      <c r="E42" s="57">
        <f>myV_t(E7)</f>
        <v>1.2255853158615698E-05</v>
      </c>
      <c r="F42" s="9" t="s">
        <v>5</v>
      </c>
      <c r="G42" s="81"/>
      <c r="P42" s="77">
        <v>33</v>
      </c>
      <c r="Q42" s="41" t="s">
        <v>279</v>
      </c>
      <c r="R42" s="20" t="s">
        <v>129</v>
      </c>
      <c r="S42" s="29">
        <f>Cv_ph(S3,S7)</f>
        <v>1.5513885363770679</v>
      </c>
      <c r="T42" s="53" t="s">
        <v>3</v>
      </c>
      <c r="U42" s="94"/>
    </row>
    <row r="43" spans="2:21" ht="15">
      <c r="B43" s="77">
        <v>3</v>
      </c>
      <c r="C43" s="78" t="s">
        <v>280</v>
      </c>
      <c r="D43" s="20" t="s">
        <v>281</v>
      </c>
      <c r="E43" s="57">
        <f>nyV_P(E3)</f>
        <v>2.0767840340518345E-05</v>
      </c>
      <c r="F43" s="86" t="s">
        <v>151</v>
      </c>
      <c r="G43" s="81"/>
      <c r="P43" s="77">
        <v>34</v>
      </c>
      <c r="Q43" s="41" t="s">
        <v>282</v>
      </c>
      <c r="R43" s="20" t="s">
        <v>92</v>
      </c>
      <c r="S43" s="29">
        <f>Cv_ps(S3,S6)</f>
        <v>1.5513852529362389</v>
      </c>
      <c r="T43" s="53" t="s">
        <v>3</v>
      </c>
      <c r="U43" s="94"/>
    </row>
    <row r="44" spans="2:21" ht="15">
      <c r="B44" s="77">
        <v>4</v>
      </c>
      <c r="C44" s="78" t="s">
        <v>283</v>
      </c>
      <c r="D44" s="20" t="s">
        <v>284</v>
      </c>
      <c r="E44" s="57">
        <f>nyV_t(E7)</f>
        <v>2.0761691288083207E-05</v>
      </c>
      <c r="F44" s="86" t="s">
        <v>151</v>
      </c>
      <c r="G44" s="81"/>
      <c r="P44" s="77">
        <v>35</v>
      </c>
      <c r="Q44" s="41" t="s">
        <v>180</v>
      </c>
      <c r="R44" s="20" t="s">
        <v>285</v>
      </c>
      <c r="S44" s="29">
        <f>v_pT(S3,S4)</f>
        <v>1.6959594073982218</v>
      </c>
      <c r="T44" s="53" t="s">
        <v>3</v>
      </c>
      <c r="U44" s="91">
        <v>1.696</v>
      </c>
    </row>
    <row r="45" spans="2:21" ht="15">
      <c r="B45" s="77">
        <v>5</v>
      </c>
      <c r="C45" s="41" t="s">
        <v>82</v>
      </c>
      <c r="D45" s="27" t="s">
        <v>128</v>
      </c>
      <c r="E45" s="18">
        <f>hV_p(E3)</f>
        <v>2674.949640832146</v>
      </c>
      <c r="F45" s="10" t="s">
        <v>1</v>
      </c>
      <c r="G45" s="82">
        <v>2675</v>
      </c>
      <c r="P45" s="77">
        <v>36</v>
      </c>
      <c r="Q45" s="41" t="s">
        <v>286</v>
      </c>
      <c r="R45" s="20" t="s">
        <v>132</v>
      </c>
      <c r="S45" s="29">
        <f>v_ph(S3,S7)</f>
        <v>1.6959725964843053</v>
      </c>
      <c r="T45" s="53" t="s">
        <v>3</v>
      </c>
      <c r="U45" s="91">
        <v>1.696</v>
      </c>
    </row>
    <row r="46" spans="2:21" ht="15">
      <c r="B46" s="77">
        <v>6</v>
      </c>
      <c r="C46" s="41" t="s">
        <v>83</v>
      </c>
      <c r="D46" s="20" t="s">
        <v>287</v>
      </c>
      <c r="E46" s="21">
        <f>hV_T(E7)</f>
        <v>2674.949640832146</v>
      </c>
      <c r="F46" s="53" t="s">
        <v>1</v>
      </c>
      <c r="G46" s="82">
        <v>2675</v>
      </c>
      <c r="P46" s="77">
        <v>37</v>
      </c>
      <c r="Q46" s="41" t="s">
        <v>288</v>
      </c>
      <c r="R46" s="20" t="s">
        <v>88</v>
      </c>
      <c r="S46" s="29">
        <f>v_ps(S3,S6)</f>
        <v>1.6959775673793824</v>
      </c>
      <c r="T46" s="53" t="s">
        <v>3</v>
      </c>
      <c r="U46" s="94"/>
    </row>
    <row r="47" spans="2:21" ht="15">
      <c r="B47" s="77">
        <v>7</v>
      </c>
      <c r="C47" s="41" t="s">
        <v>84</v>
      </c>
      <c r="D47" s="20" t="s">
        <v>130</v>
      </c>
      <c r="E47" s="23">
        <f>sV_p(E3)</f>
        <v>7.3588066410693544</v>
      </c>
      <c r="F47" s="53" t="s">
        <v>3</v>
      </c>
      <c r="G47" s="81">
        <v>7.36</v>
      </c>
      <c r="P47" s="77">
        <v>38</v>
      </c>
      <c r="Q47" s="41" t="s">
        <v>289</v>
      </c>
      <c r="R47" s="20" t="s">
        <v>135</v>
      </c>
      <c r="S47" s="21">
        <f>T_ph(S3,S7)</f>
        <v>100.0026841636772</v>
      </c>
      <c r="T47" s="53" t="s">
        <v>68</v>
      </c>
      <c r="U47" s="91">
        <v>100</v>
      </c>
    </row>
    <row r="48" spans="2:21" ht="15">
      <c r="B48" s="77">
        <v>8</v>
      </c>
      <c r="C48" s="41" t="s">
        <v>85</v>
      </c>
      <c r="D48" s="20" t="s">
        <v>131</v>
      </c>
      <c r="E48" s="23">
        <f>sV_T(E7)</f>
        <v>7.358806641069361</v>
      </c>
      <c r="F48" s="53" t="s">
        <v>3</v>
      </c>
      <c r="G48" s="81">
        <v>7.36</v>
      </c>
      <c r="H48" t="s">
        <v>75</v>
      </c>
      <c r="P48" s="77">
        <v>39</v>
      </c>
      <c r="Q48" s="41" t="s">
        <v>290</v>
      </c>
      <c r="R48" s="20" t="s">
        <v>137</v>
      </c>
      <c r="S48" s="21">
        <f>T_ps(S3,S6)</f>
        <v>100.00369581283928</v>
      </c>
      <c r="T48" s="53" t="s">
        <v>68</v>
      </c>
      <c r="U48" s="91">
        <v>100</v>
      </c>
    </row>
    <row r="49" spans="2:21" ht="15">
      <c r="B49" s="77">
        <v>9</v>
      </c>
      <c r="C49" s="41" t="s">
        <v>291</v>
      </c>
      <c r="D49" s="20" t="s">
        <v>292</v>
      </c>
      <c r="E49" s="24">
        <f>tcV_p(E3)</f>
        <v>0.024753667592350453</v>
      </c>
      <c r="F49" s="53" t="s">
        <v>6</v>
      </c>
      <c r="G49" s="81"/>
      <c r="P49" s="77">
        <v>40</v>
      </c>
      <c r="Q49" s="41" t="s">
        <v>293</v>
      </c>
      <c r="R49" s="20" t="s">
        <v>294</v>
      </c>
      <c r="S49" s="21">
        <f>T_pv(S3,S8)</f>
        <v>100.00269199462019</v>
      </c>
      <c r="T49" s="53" t="s">
        <v>68</v>
      </c>
      <c r="U49" s="91">
        <v>100</v>
      </c>
    </row>
    <row r="50" spans="2:21" ht="15">
      <c r="B50" s="77">
        <v>10</v>
      </c>
      <c r="C50" s="41" t="s">
        <v>295</v>
      </c>
      <c r="D50" s="20" t="s">
        <v>296</v>
      </c>
      <c r="E50" s="24">
        <f>tcV_T(E7)</f>
        <v>0.02475366759235044</v>
      </c>
      <c r="F50" s="53" t="s">
        <v>6</v>
      </c>
      <c r="G50" s="81">
        <v>0.025</v>
      </c>
      <c r="P50" s="77">
        <v>41</v>
      </c>
      <c r="Q50" s="41" t="s">
        <v>297</v>
      </c>
      <c r="R50" s="20" t="s">
        <v>139</v>
      </c>
      <c r="S50" s="21">
        <f>T_hs(S7,S6)</f>
        <v>100.00257368200943</v>
      </c>
      <c r="T50" s="53" t="s">
        <v>68</v>
      </c>
      <c r="U50" s="94"/>
    </row>
    <row r="51" spans="2:21" ht="15">
      <c r="B51" s="77">
        <v>11</v>
      </c>
      <c r="C51" s="41" t="s">
        <v>298</v>
      </c>
      <c r="D51" s="20" t="s">
        <v>150</v>
      </c>
      <c r="E51" s="54">
        <f>PrV_p(E3)</f>
        <v>1.0276027033547375</v>
      </c>
      <c r="F51" s="53" t="s">
        <v>72</v>
      </c>
      <c r="G51" s="81">
        <v>1.015</v>
      </c>
      <c r="P51" s="77">
        <v>42</v>
      </c>
      <c r="Q51" s="41" t="s">
        <v>299</v>
      </c>
      <c r="R51" s="20" t="s">
        <v>300</v>
      </c>
      <c r="S51" s="29">
        <f>rho_pT(S3,S4)</f>
        <v>0.5896367540624714</v>
      </c>
      <c r="T51" s="53" t="s">
        <v>71</v>
      </c>
      <c r="U51" s="94"/>
    </row>
    <row r="52" spans="2:21" ht="15">
      <c r="B52" s="77">
        <v>12</v>
      </c>
      <c r="C52" s="41" t="s">
        <v>301</v>
      </c>
      <c r="D52" s="20" t="s">
        <v>167</v>
      </c>
      <c r="E52" s="54">
        <f>PrV_t(E7)</f>
        <v>1.0277401612596437</v>
      </c>
      <c r="F52" s="53" t="s">
        <v>72</v>
      </c>
      <c r="G52" s="81"/>
      <c r="P52" s="77">
        <v>43</v>
      </c>
      <c r="Q52" s="41" t="s">
        <v>302</v>
      </c>
      <c r="R52" s="20" t="s">
        <v>140</v>
      </c>
      <c r="S52" s="29">
        <f>rho_ph(S3,S7)</f>
        <v>0.589632168628766</v>
      </c>
      <c r="T52" s="53" t="s">
        <v>71</v>
      </c>
      <c r="U52" s="94"/>
    </row>
    <row r="53" spans="2:21" ht="15">
      <c r="B53" s="77">
        <v>13</v>
      </c>
      <c r="C53" s="12" t="s">
        <v>303</v>
      </c>
      <c r="D53" s="25" t="s">
        <v>133</v>
      </c>
      <c r="E53" s="26">
        <f>wV_T(E7)</f>
        <v>472.0541571060477</v>
      </c>
      <c r="F53" s="87" t="s">
        <v>2</v>
      </c>
      <c r="G53" s="82">
        <v>472</v>
      </c>
      <c r="P53" s="77">
        <v>44</v>
      </c>
      <c r="Q53" s="41" t="s">
        <v>304</v>
      </c>
      <c r="R53" s="20" t="s">
        <v>89</v>
      </c>
      <c r="S53" s="29">
        <f>rho_ps(S3,S6)</f>
        <v>0.5896304404221548</v>
      </c>
      <c r="T53" s="53" t="s">
        <v>71</v>
      </c>
      <c r="U53" s="94"/>
    </row>
    <row r="54" spans="2:21" ht="15">
      <c r="B54" s="77">
        <v>14</v>
      </c>
      <c r="C54" s="12" t="s">
        <v>305</v>
      </c>
      <c r="D54" s="20" t="s">
        <v>134</v>
      </c>
      <c r="E54" s="21">
        <f>wV_p(E3)</f>
        <v>472.0541571060476</v>
      </c>
      <c r="F54" s="53" t="s">
        <v>2</v>
      </c>
      <c r="G54" s="83"/>
      <c r="P54" s="77">
        <v>45</v>
      </c>
      <c r="Q54" s="41" t="s">
        <v>306</v>
      </c>
      <c r="R54" s="20" t="s">
        <v>307</v>
      </c>
      <c r="S54" s="21">
        <f>u_pT(S3,S4)</f>
        <v>2506.1714264660072</v>
      </c>
      <c r="T54" s="53" t="s">
        <v>1</v>
      </c>
      <c r="U54" s="94"/>
    </row>
    <row r="55" spans="2:21" ht="15">
      <c r="B55" s="77">
        <v>15</v>
      </c>
      <c r="C55" s="41" t="s">
        <v>308</v>
      </c>
      <c r="D55" s="20" t="s">
        <v>136</v>
      </c>
      <c r="E55" s="23">
        <f>CpV_T(E7)</f>
        <v>2.0759380252044366</v>
      </c>
      <c r="F55" s="53" t="s">
        <v>3</v>
      </c>
      <c r="G55" s="81">
        <v>2.08</v>
      </c>
      <c r="P55" s="77">
        <v>46</v>
      </c>
      <c r="Q55" s="41" t="s">
        <v>309</v>
      </c>
      <c r="R55" s="20" t="s">
        <v>143</v>
      </c>
      <c r="S55" s="21">
        <f>u_ph(S3,S7)</f>
        <v>2506.175674787753</v>
      </c>
      <c r="T55" s="53" t="s">
        <v>1</v>
      </c>
      <c r="U55" s="94"/>
    </row>
    <row r="56" spans="2:21" ht="15">
      <c r="B56" s="77">
        <v>16</v>
      </c>
      <c r="C56" s="41" t="s">
        <v>310</v>
      </c>
      <c r="D56" s="20" t="s">
        <v>138</v>
      </c>
      <c r="E56" s="23">
        <f>CpV_p(E3)</f>
        <v>2.0759380252044393</v>
      </c>
      <c r="F56" s="53" t="s">
        <v>3</v>
      </c>
      <c r="G56" s="83"/>
      <c r="P56" s="80">
        <v>47</v>
      </c>
      <c r="Q56" s="41" t="s">
        <v>311</v>
      </c>
      <c r="R56" s="20" t="s">
        <v>90</v>
      </c>
      <c r="S56" s="21">
        <f>u_ps(S3,S6)</f>
        <v>2506.177275953656</v>
      </c>
      <c r="T56" s="53" t="s">
        <v>1</v>
      </c>
      <c r="U56" s="96"/>
    </row>
    <row r="57" spans="2:16" ht="15">
      <c r="B57" s="77">
        <v>17</v>
      </c>
      <c r="C57" s="41" t="s">
        <v>312</v>
      </c>
      <c r="D57" s="20" t="s">
        <v>313</v>
      </c>
      <c r="E57" s="29">
        <f>vV_T(E7)</f>
        <v>1.6940225229027026</v>
      </c>
      <c r="F57" s="53" t="s">
        <v>4</v>
      </c>
      <c r="G57" s="84">
        <v>1.69402</v>
      </c>
      <c r="O57" s="43"/>
      <c r="P57" s="76" t="s">
        <v>75</v>
      </c>
    </row>
    <row r="58" spans="2:7" ht="15">
      <c r="B58" s="77">
        <v>18</v>
      </c>
      <c r="C58" s="41" t="s">
        <v>314</v>
      </c>
      <c r="D58" s="20" t="s">
        <v>153</v>
      </c>
      <c r="E58" s="29">
        <f>vV_p(E3)</f>
        <v>1.6940225229026846</v>
      </c>
      <c r="F58" s="53" t="s">
        <v>4</v>
      </c>
      <c r="G58" s="83"/>
    </row>
    <row r="59" spans="2:7" ht="15">
      <c r="B59" s="77">
        <v>19</v>
      </c>
      <c r="C59" s="41" t="s">
        <v>315</v>
      </c>
      <c r="D59" s="20" t="s">
        <v>316</v>
      </c>
      <c r="E59" s="23">
        <f>rhoV_T(E7)</f>
        <v>0.5903109235445718</v>
      </c>
      <c r="F59" s="53" t="s">
        <v>71</v>
      </c>
      <c r="G59" s="83"/>
    </row>
    <row r="60" spans="2:7" ht="15">
      <c r="B60" s="77">
        <v>20</v>
      </c>
      <c r="C60" s="41" t="s">
        <v>317</v>
      </c>
      <c r="D60" s="20" t="s">
        <v>141</v>
      </c>
      <c r="E60" s="23">
        <f>rhoV_p(E3)</f>
        <v>0.5903109235445781</v>
      </c>
      <c r="F60" s="53" t="s">
        <v>71</v>
      </c>
      <c r="G60" s="83"/>
    </row>
    <row r="61" spans="2:7" ht="15">
      <c r="B61" s="77">
        <v>21</v>
      </c>
      <c r="C61" s="12" t="s">
        <v>318</v>
      </c>
      <c r="D61" s="25" t="s">
        <v>142</v>
      </c>
      <c r="E61" s="26">
        <f>uV_p(E3)</f>
        <v>2505.547388541878</v>
      </c>
      <c r="F61" s="87" t="s">
        <v>1</v>
      </c>
      <c r="G61" s="83"/>
    </row>
    <row r="62" spans="2:7" ht="15">
      <c r="B62" s="80">
        <v>22</v>
      </c>
      <c r="C62" s="41" t="s">
        <v>319</v>
      </c>
      <c r="D62" s="31" t="s">
        <v>320</v>
      </c>
      <c r="E62" s="21">
        <f>uV_T(E7)</f>
        <v>2505.547388541878</v>
      </c>
      <c r="F62" s="53" t="s">
        <v>1</v>
      </c>
      <c r="G62" s="85"/>
    </row>
    <row r="63" spans="3:8" ht="15">
      <c r="C63" s="5"/>
      <c r="D63" s="15"/>
      <c r="E63" s="5"/>
      <c r="F63" s="5"/>
      <c r="G63" s="43"/>
      <c r="H63" s="5"/>
    </row>
    <row r="64" ht="15">
      <c r="H64" s="5"/>
    </row>
    <row r="65" ht="15">
      <c r="H65" s="5"/>
    </row>
    <row r="66" ht="15">
      <c r="H66" s="5"/>
    </row>
    <row r="67" ht="15">
      <c r="H67" s="5"/>
    </row>
    <row r="68" ht="15">
      <c r="H68" s="5"/>
    </row>
    <row r="69" ht="15">
      <c r="H69" s="5"/>
    </row>
    <row r="73" ht="15">
      <c r="E73" s="17"/>
    </row>
    <row r="74" ht="15">
      <c r="E74" s="17"/>
    </row>
    <row r="75" ht="15">
      <c r="E75" s="17"/>
    </row>
    <row r="76" ht="15">
      <c r="E76" s="17"/>
    </row>
    <row r="77" ht="15">
      <c r="E77" s="17"/>
    </row>
    <row r="78" ht="15">
      <c r="E78" s="17"/>
    </row>
    <row r="79" ht="15">
      <c r="E79" s="17"/>
    </row>
    <row r="80" ht="15">
      <c r="E80" s="17"/>
    </row>
    <row r="81" ht="15">
      <c r="E81" s="17"/>
    </row>
    <row r="82" ht="15">
      <c r="E82" s="17"/>
    </row>
    <row r="83" ht="15">
      <c r="E83" s="17"/>
    </row>
    <row r="84" ht="15">
      <c r="E84" s="17"/>
    </row>
    <row r="85" ht="15">
      <c r="E85" s="17"/>
    </row>
    <row r="86" ht="15">
      <c r="E86" s="17"/>
    </row>
    <row r="87" ht="15">
      <c r="E87" s="17"/>
    </row>
    <row r="88" ht="15">
      <c r="E88" s="17"/>
    </row>
    <row r="89" ht="15">
      <c r="E89" s="17"/>
    </row>
  </sheetData>
  <sheetProtection/>
  <hyperlinks>
    <hyperlink ref="W1" r:id="rId1" display="www.piping-tools.ne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C89"/>
  <sheetViews>
    <sheetView showGridLines="0" zoomScalePageLayoutView="0" workbookViewId="0" topLeftCell="A1">
      <selection activeCell="M10" sqref="M10:M11"/>
    </sheetView>
  </sheetViews>
  <sheetFormatPr defaultColWidth="9.140625" defaultRowHeight="15"/>
  <sheetData>
    <row r="2" ht="15">
      <c r="C2" t="s">
        <v>9</v>
      </c>
    </row>
    <row r="3" ht="15">
      <c r="C3" s="3" t="s">
        <v>343</v>
      </c>
    </row>
    <row r="4" ht="15">
      <c r="C4" s="3" t="s">
        <v>341</v>
      </c>
    </row>
    <row r="5" ht="15">
      <c r="C5" s="3" t="s">
        <v>342</v>
      </c>
    </row>
    <row r="6" ht="15">
      <c r="C6" s="3" t="s">
        <v>344</v>
      </c>
    </row>
    <row r="7" ht="15">
      <c r="C7" s="3" t="s">
        <v>345</v>
      </c>
    </row>
    <row r="8" ht="15">
      <c r="C8" s="3" t="s">
        <v>346</v>
      </c>
    </row>
    <row r="9" ht="15">
      <c r="C9" s="3" t="s">
        <v>347</v>
      </c>
    </row>
    <row r="10" ht="15">
      <c r="C10" t="s">
        <v>10</v>
      </c>
    </row>
    <row r="11" ht="15">
      <c r="C11" t="s">
        <v>11</v>
      </c>
    </row>
    <row r="12" ht="15">
      <c r="C12" t="s">
        <v>12</v>
      </c>
    </row>
    <row r="15" ht="15">
      <c r="C15" t="s">
        <v>13</v>
      </c>
    </row>
    <row r="16" ht="15">
      <c r="C16" t="s">
        <v>14</v>
      </c>
    </row>
    <row r="17" ht="15">
      <c r="C17" t="s">
        <v>15</v>
      </c>
    </row>
    <row r="18" ht="15">
      <c r="C18" t="s">
        <v>16</v>
      </c>
    </row>
    <row r="19" ht="15">
      <c r="C19" t="s">
        <v>17</v>
      </c>
    </row>
    <row r="20" ht="15">
      <c r="C20" t="s">
        <v>18</v>
      </c>
    </row>
    <row r="21" ht="15">
      <c r="C21" t="s">
        <v>19</v>
      </c>
    </row>
    <row r="22" ht="15">
      <c r="C22" t="s">
        <v>20</v>
      </c>
    </row>
    <row r="23" ht="15">
      <c r="C23" t="s">
        <v>21</v>
      </c>
    </row>
    <row r="24" ht="15">
      <c r="C24" t="s">
        <v>22</v>
      </c>
    </row>
    <row r="25" ht="15">
      <c r="C25" t="s">
        <v>23</v>
      </c>
    </row>
    <row r="26" ht="15">
      <c r="C26" t="s">
        <v>24</v>
      </c>
    </row>
    <row r="27" ht="15">
      <c r="C27" t="s">
        <v>25</v>
      </c>
    </row>
    <row r="28" ht="15">
      <c r="C28" t="s">
        <v>26</v>
      </c>
    </row>
    <row r="29" ht="15">
      <c r="C29" t="s">
        <v>27</v>
      </c>
    </row>
    <row r="30" ht="15">
      <c r="C30" t="s">
        <v>28</v>
      </c>
    </row>
    <row r="31" ht="15">
      <c r="C31" t="s">
        <v>29</v>
      </c>
    </row>
    <row r="32" ht="15">
      <c r="C32" t="s">
        <v>30</v>
      </c>
    </row>
    <row r="33" ht="15">
      <c r="C33" t="s">
        <v>31</v>
      </c>
    </row>
    <row r="34" ht="15">
      <c r="C34" t="s">
        <v>32</v>
      </c>
    </row>
    <row r="35" ht="15">
      <c r="C35" t="s">
        <v>11</v>
      </c>
    </row>
    <row r="36" ht="15">
      <c r="C36" t="s">
        <v>33</v>
      </c>
    </row>
    <row r="37" ht="15">
      <c r="C37" t="s">
        <v>34</v>
      </c>
    </row>
    <row r="38" ht="15">
      <c r="C38" t="s">
        <v>35</v>
      </c>
    </row>
    <row r="39" ht="15">
      <c r="C39" t="s">
        <v>36</v>
      </c>
    </row>
    <row r="40" ht="15">
      <c r="C40" t="s">
        <v>37</v>
      </c>
    </row>
    <row r="41" ht="15">
      <c r="C41" t="s">
        <v>38</v>
      </c>
    </row>
    <row r="42" ht="15">
      <c r="C42" t="s">
        <v>11</v>
      </c>
    </row>
    <row r="43" ht="15">
      <c r="C43" t="s">
        <v>39</v>
      </c>
    </row>
    <row r="44" ht="15">
      <c r="C44" t="s">
        <v>40</v>
      </c>
    </row>
    <row r="45" ht="15">
      <c r="C45" t="s">
        <v>41</v>
      </c>
    </row>
    <row r="46" ht="15">
      <c r="C46" t="s">
        <v>42</v>
      </c>
    </row>
    <row r="47" ht="15">
      <c r="C47" t="s">
        <v>43</v>
      </c>
    </row>
    <row r="48" ht="15">
      <c r="C48" t="s">
        <v>44</v>
      </c>
    </row>
    <row r="49" ht="15">
      <c r="C49" t="s">
        <v>11</v>
      </c>
    </row>
    <row r="50" ht="15">
      <c r="C50" t="s">
        <v>45</v>
      </c>
    </row>
    <row r="51" ht="15">
      <c r="C51" t="s">
        <v>46</v>
      </c>
    </row>
    <row r="52" ht="15">
      <c r="C52" t="s">
        <v>47</v>
      </c>
    </row>
    <row r="53" ht="15">
      <c r="C53" t="s">
        <v>48</v>
      </c>
    </row>
    <row r="54" ht="15">
      <c r="C54" t="s">
        <v>11</v>
      </c>
    </row>
    <row r="55" ht="15">
      <c r="C55" t="s">
        <v>49</v>
      </c>
    </row>
    <row r="56" ht="15">
      <c r="C56" t="s">
        <v>50</v>
      </c>
    </row>
    <row r="57" ht="15">
      <c r="C57" t="s">
        <v>51</v>
      </c>
    </row>
    <row r="58" ht="15">
      <c r="C58" t="s">
        <v>52</v>
      </c>
    </row>
    <row r="59" ht="15">
      <c r="C59" t="s">
        <v>11</v>
      </c>
    </row>
    <row r="60" ht="15">
      <c r="C60" t="s">
        <v>53</v>
      </c>
    </row>
    <row r="61" ht="15">
      <c r="C61" t="s">
        <v>11</v>
      </c>
    </row>
    <row r="62" ht="15">
      <c r="C62" t="s">
        <v>157</v>
      </c>
    </row>
    <row r="63" ht="15">
      <c r="C63" t="s">
        <v>158</v>
      </c>
    </row>
    <row r="64" ht="15">
      <c r="C64" t="s">
        <v>159</v>
      </c>
    </row>
    <row r="65" ht="15">
      <c r="C65" t="s">
        <v>160</v>
      </c>
    </row>
    <row r="66" ht="15">
      <c r="C66" t="s">
        <v>161</v>
      </c>
    </row>
    <row r="67" ht="15">
      <c r="C67" t="s">
        <v>162</v>
      </c>
    </row>
    <row r="68" ht="15">
      <c r="C68" t="s">
        <v>163</v>
      </c>
    </row>
    <row r="69" ht="15">
      <c r="C69" t="s">
        <v>11</v>
      </c>
    </row>
    <row r="70" ht="15">
      <c r="C70" t="s">
        <v>321</v>
      </c>
    </row>
    <row r="71" ht="15">
      <c r="C71" t="s">
        <v>322</v>
      </c>
    </row>
    <row r="72" ht="15">
      <c r="C72" t="s">
        <v>323</v>
      </c>
    </row>
    <row r="73" ht="15">
      <c r="C73" t="s">
        <v>324</v>
      </c>
    </row>
    <row r="74" ht="15">
      <c r="C74" t="s">
        <v>325</v>
      </c>
    </row>
    <row r="75" ht="15">
      <c r="C75" t="s">
        <v>326</v>
      </c>
    </row>
    <row r="76" ht="15">
      <c r="C76" t="s">
        <v>327</v>
      </c>
    </row>
    <row r="77" ht="15">
      <c r="C77" t="s">
        <v>328</v>
      </c>
    </row>
    <row r="78" ht="15">
      <c r="C78" t="s">
        <v>329</v>
      </c>
    </row>
    <row r="79" ht="15">
      <c r="C79" t="s">
        <v>330</v>
      </c>
    </row>
    <row r="80" ht="15">
      <c r="C80" t="s">
        <v>331</v>
      </c>
    </row>
    <row r="81" ht="15">
      <c r="C81" t="s">
        <v>332</v>
      </c>
    </row>
    <row r="82" ht="15">
      <c r="C82" t="s">
        <v>333</v>
      </c>
    </row>
    <row r="83" ht="15">
      <c r="C83" t="s">
        <v>334</v>
      </c>
    </row>
    <row r="84" ht="15">
      <c r="C84" t="s">
        <v>335</v>
      </c>
    </row>
    <row r="85" ht="15">
      <c r="C85" t="s">
        <v>336</v>
      </c>
    </row>
    <row r="86" ht="15">
      <c r="C86" t="s">
        <v>337</v>
      </c>
    </row>
    <row r="87" ht="15">
      <c r="C87" t="s">
        <v>338</v>
      </c>
    </row>
    <row r="88" ht="15">
      <c r="C88" t="s">
        <v>339</v>
      </c>
    </row>
    <row r="89" ht="15">
      <c r="C89" t="s">
        <v>340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H24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3" spans="2:3" ht="15">
      <c r="B3" t="s">
        <v>152</v>
      </c>
      <c r="C3" s="3" t="s">
        <v>59</v>
      </c>
    </row>
    <row r="4" ht="15">
      <c r="C4" t="s">
        <v>60</v>
      </c>
    </row>
    <row r="5" ht="15">
      <c r="C5" s="1" t="s">
        <v>0</v>
      </c>
    </row>
    <row r="6" ht="15">
      <c r="C6" s="2"/>
    </row>
    <row r="7" spans="3:8" ht="15">
      <c r="C7" s="8" t="s">
        <v>54</v>
      </c>
      <c r="D7" s="9"/>
      <c r="E7" s="9"/>
      <c r="F7" s="9"/>
      <c r="G7" s="9"/>
      <c r="H7" s="12"/>
    </row>
    <row r="8" spans="3:8" ht="15">
      <c r="C8" s="6"/>
      <c r="D8" s="5"/>
      <c r="E8" s="5"/>
      <c r="F8" s="5"/>
      <c r="G8" s="5"/>
      <c r="H8" s="13"/>
    </row>
    <row r="9" spans="3:8" ht="15">
      <c r="C9" s="6" t="s">
        <v>55</v>
      </c>
      <c r="D9" s="5"/>
      <c r="E9" s="5"/>
      <c r="F9" s="5"/>
      <c r="G9" s="5"/>
      <c r="H9" s="13"/>
    </row>
    <row r="10" spans="3:8" ht="15">
      <c r="C10" s="7" t="s">
        <v>66</v>
      </c>
      <c r="D10" s="5"/>
      <c r="E10" s="5"/>
      <c r="F10" s="5"/>
      <c r="G10" s="5"/>
      <c r="H10" s="13"/>
    </row>
    <row r="11" spans="2:8" ht="15">
      <c r="B11" s="4"/>
      <c r="C11" s="10" t="s">
        <v>67</v>
      </c>
      <c r="D11" s="11"/>
      <c r="E11" s="11"/>
      <c r="F11" s="11"/>
      <c r="G11" s="11"/>
      <c r="H11" s="14"/>
    </row>
    <row r="12" ht="15">
      <c r="B12" s="4"/>
    </row>
    <row r="13" ht="15">
      <c r="B13" s="4"/>
    </row>
    <row r="14" spans="3:8" ht="15">
      <c r="C14" s="8" t="s">
        <v>56</v>
      </c>
      <c r="D14" s="9"/>
      <c r="E14" s="9"/>
      <c r="F14" s="9"/>
      <c r="G14" s="9"/>
      <c r="H14" s="12"/>
    </row>
    <row r="15" spans="3:8" ht="15">
      <c r="C15" s="6"/>
      <c r="D15" s="5"/>
      <c r="E15" s="5"/>
      <c r="F15" s="5"/>
      <c r="G15" s="5"/>
      <c r="H15" s="13"/>
    </row>
    <row r="16" spans="3:8" ht="15">
      <c r="C16" s="6" t="s">
        <v>57</v>
      </c>
      <c r="D16" s="5"/>
      <c r="E16" s="5"/>
      <c r="F16" s="5"/>
      <c r="G16" s="5"/>
      <c r="H16" s="13"/>
    </row>
    <row r="17" spans="3:8" ht="15">
      <c r="C17" s="6"/>
      <c r="D17" s="5"/>
      <c r="E17" s="5"/>
      <c r="F17" s="5"/>
      <c r="G17" s="5"/>
      <c r="H17" s="13"/>
    </row>
    <row r="18" spans="2:8" ht="15">
      <c r="B18" s="4"/>
      <c r="C18" s="6" t="s">
        <v>58</v>
      </c>
      <c r="D18" s="5"/>
      <c r="E18" s="5"/>
      <c r="F18" s="5"/>
      <c r="G18" s="5"/>
      <c r="H18" s="13"/>
    </row>
    <row r="19" spans="3:8" ht="15">
      <c r="C19" s="6" t="s">
        <v>63</v>
      </c>
      <c r="D19" s="5"/>
      <c r="E19" s="5"/>
      <c r="F19" s="5"/>
      <c r="G19" s="5"/>
      <c r="H19" s="13"/>
    </row>
    <row r="20" spans="3:8" ht="15">
      <c r="C20" s="6" t="s">
        <v>64</v>
      </c>
      <c r="D20" s="5"/>
      <c r="E20" s="5"/>
      <c r="F20" s="5"/>
      <c r="G20" s="5"/>
      <c r="H20" s="13"/>
    </row>
    <row r="21" spans="3:8" ht="15">
      <c r="C21" s="6" t="s">
        <v>65</v>
      </c>
      <c r="D21" s="5"/>
      <c r="E21" s="5"/>
      <c r="F21" s="5"/>
      <c r="G21" s="5"/>
      <c r="H21" s="13"/>
    </row>
    <row r="22" spans="3:8" ht="15">
      <c r="C22" s="6"/>
      <c r="D22" s="5"/>
      <c r="E22" s="5"/>
      <c r="F22" s="5"/>
      <c r="G22" s="5"/>
      <c r="H22" s="13"/>
    </row>
    <row r="23" spans="3:8" ht="15">
      <c r="C23" s="6" t="s">
        <v>61</v>
      </c>
      <c r="D23" s="5"/>
      <c r="E23" s="5"/>
      <c r="F23" s="5"/>
      <c r="G23" s="5"/>
      <c r="H23" s="13"/>
    </row>
    <row r="24" spans="3:8" ht="15">
      <c r="C24" s="10" t="s">
        <v>62</v>
      </c>
      <c r="D24" s="11"/>
      <c r="E24" s="11"/>
      <c r="F24" s="11"/>
      <c r="G24" s="11"/>
      <c r="H24" s="14"/>
    </row>
  </sheetData>
  <sheetProtection/>
  <hyperlinks>
    <hyperlink ref="C5" r:id="rId1" display="www.x-eng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Mechanical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kwoodbury</dc:creator>
  <cp:keywords/>
  <dc:description/>
  <cp:lastModifiedBy>Windows User</cp:lastModifiedBy>
  <dcterms:created xsi:type="dcterms:W3CDTF">2007-09-20T16:33:49Z</dcterms:created>
  <dcterms:modified xsi:type="dcterms:W3CDTF">2018-06-27T13:22:46Z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